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90" firstSheet="3"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F100" i="63" l="1"/>
  <c r="H79" i="63" l="1"/>
  <c r="I79" i="63"/>
  <c r="H78" i="63"/>
  <c r="G83" i="63" s="1"/>
  <c r="I78" i="63"/>
  <c r="H77" i="63"/>
  <c r="I77" i="63"/>
  <c r="W350" i="18"/>
  <c r="P24" i="18"/>
  <c r="N24" i="18" s="1"/>
  <c r="P23" i="18"/>
  <c r="N23" i="18" s="1"/>
  <c r="P34" i="18"/>
  <c r="N34" i="18" s="1"/>
  <c r="P33" i="18"/>
  <c r="N33" i="18" s="1"/>
  <c r="N56" i="18"/>
  <c r="N55" i="18"/>
  <c r="O305" i="52"/>
  <c r="J305" i="52"/>
  <c r="L164" i="18" l="1"/>
  <c r="K165" i="18"/>
  <c r="W349" i="18" l="1"/>
  <c r="W348" i="18"/>
  <c r="F99" i="63"/>
  <c r="P25" i="18"/>
  <c r="N25" i="18" s="1"/>
  <c r="P32" i="18"/>
  <c r="N32" i="18" s="1"/>
  <c r="N57" i="18"/>
  <c r="O302" i="52"/>
  <c r="K155" i="18"/>
  <c r="J160" i="18"/>
  <c r="K161" i="18"/>
  <c r="G159" i="18"/>
  <c r="J159" i="18" s="1"/>
  <c r="G157" i="18" l="1"/>
  <c r="V371" i="18" l="1"/>
  <c r="W347" i="18" l="1"/>
  <c r="O301" i="52"/>
  <c r="G158" i="18"/>
  <c r="J158" i="18" s="1"/>
  <c r="J157" i="18"/>
  <c r="G98" i="63"/>
  <c r="F98" i="63"/>
  <c r="N60" i="18"/>
  <c r="N58" i="18"/>
  <c r="P26" i="18"/>
  <c r="N26" i="18" s="1"/>
  <c r="P36" i="18"/>
  <c r="N36" i="18" s="1"/>
  <c r="P22" i="18"/>
  <c r="N22" i="18" s="1"/>
  <c r="P35" i="18"/>
  <c r="N35" i="18" s="1"/>
  <c r="N59" i="18"/>
  <c r="J163" i="18" l="1"/>
  <c r="I163" i="18" s="1"/>
  <c r="W346" i="18" l="1"/>
  <c r="G97" i="63"/>
  <c r="W345" i="18"/>
  <c r="J300" i="52"/>
  <c r="O75" i="18"/>
  <c r="W344" i="18" l="1"/>
  <c r="O299" i="52"/>
  <c r="W343" i="18"/>
  <c r="W342"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F102" i="63"/>
  <c r="J102" i="63" s="1"/>
  <c r="F97" i="63"/>
  <c r="G96" i="63"/>
  <c r="F96" i="63"/>
  <c r="G95" i="63"/>
  <c r="F95" i="63"/>
  <c r="G94" i="63"/>
  <c r="F94" i="63"/>
  <c r="F93" i="63"/>
  <c r="J93" i="63" s="1"/>
  <c r="F92" i="63"/>
  <c r="I92" i="63" s="1"/>
  <c r="F91" i="63"/>
  <c r="I91" i="63" s="1"/>
  <c r="F90" i="63"/>
  <c r="J90" i="63" s="1"/>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63" i="18"/>
  <c r="X364" i="18" s="1"/>
  <c r="X359" i="18"/>
  <c r="X360" i="18" s="1"/>
  <c r="F105" i="63" l="1"/>
  <c r="X362" i="18"/>
  <c r="X361" i="18"/>
  <c r="J91" i="63"/>
  <c r="I90" i="63"/>
  <c r="F106" i="63"/>
  <c r="J92" i="63"/>
  <c r="I102" i="63"/>
  <c r="I93" i="63"/>
  <c r="W341" i="18"/>
  <c r="U352" i="18"/>
  <c r="W340" i="18"/>
  <c r="W339" i="18"/>
  <c r="P31" i="18"/>
  <c r="N31" i="18" s="1"/>
  <c r="O298" i="52"/>
  <c r="W175" i="18" l="1"/>
  <c r="W171" i="18"/>
  <c r="W173" i="18"/>
  <c r="J298" i="52"/>
  <c r="AL222" i="18"/>
  <c r="AM222" i="18" s="1"/>
  <c r="AL223" i="18"/>
  <c r="AM223" i="18" s="1"/>
  <c r="AL224" i="18"/>
  <c r="AM224" i="18" s="1"/>
  <c r="AL225" i="18"/>
  <c r="AM225" i="18" s="1"/>
  <c r="AL226" i="18"/>
  <c r="AM226" i="18" s="1"/>
  <c r="AL227" i="18"/>
  <c r="AM227" i="18" s="1"/>
  <c r="O297" i="52" l="1"/>
  <c r="W338" i="18"/>
  <c r="W337" i="18"/>
  <c r="W336" i="18"/>
  <c r="K199" i="18"/>
  <c r="T373" i="18" l="1"/>
  <c r="T375" i="18" s="1"/>
  <c r="W335" i="18"/>
  <c r="J296" i="52"/>
  <c r="M120" i="18"/>
  <c r="K200" i="18" l="1"/>
  <c r="K202" i="18" s="1"/>
  <c r="J295" i="52"/>
  <c r="W334" i="18" l="1"/>
  <c r="O296" i="52" l="1"/>
  <c r="K126" i="18"/>
  <c r="N125" i="18"/>
  <c r="B392" i="15"/>
  <c r="B399" i="15" s="1"/>
  <c r="D126" i="58"/>
  <c r="D6" i="62" l="1"/>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L7" i="62" l="1"/>
  <c r="N6" i="62"/>
  <c r="P27" i="18"/>
  <c r="N27" i="18" s="1"/>
  <c r="P37" i="18"/>
  <c r="N37" i="18" s="1"/>
  <c r="N61" i="18"/>
  <c r="L8" i="62" l="1"/>
  <c r="N7" i="62"/>
  <c r="M122" i="18"/>
  <c r="O290" i="52"/>
  <c r="O288" i="52"/>
  <c r="L9" i="62" l="1"/>
  <c r="N8" i="62"/>
  <c r="N63" i="18"/>
  <c r="N54" i="18"/>
  <c r="M123" i="18" s="1"/>
  <c r="L10" i="62" l="1"/>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33" i="18"/>
  <c r="P51" i="18" l="1"/>
  <c r="N51" i="18" s="1"/>
  <c r="O286" i="52"/>
  <c r="L66" i="18"/>
  <c r="O285" i="52" l="1"/>
  <c r="J282" i="52" l="1"/>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P295" i="52" s="1"/>
  <c r="O295" i="52"/>
  <c r="N296" i="52"/>
  <c r="J297" i="52"/>
  <c r="N297" i="52"/>
  <c r="P297" i="52" s="1"/>
  <c r="N298" i="52"/>
  <c r="J299" i="52"/>
  <c r="N299" i="52"/>
  <c r="P299" i="52" s="1"/>
  <c r="N300" i="52"/>
  <c r="P300" i="52" s="1"/>
  <c r="O300" i="52"/>
  <c r="J301" i="52"/>
  <c r="N301" i="52"/>
  <c r="P301" i="52" s="1"/>
  <c r="J302" i="52"/>
  <c r="N302" i="52"/>
  <c r="J303" i="52"/>
  <c r="N303" i="52"/>
  <c r="O303" i="52"/>
  <c r="J304" i="52"/>
  <c r="N304" i="52"/>
  <c r="O304" i="52"/>
  <c r="N305" i="52"/>
  <c r="P305" i="52" s="1"/>
  <c r="J306" i="52"/>
  <c r="N306" i="52"/>
  <c r="O306" i="52"/>
  <c r="J307" i="52"/>
  <c r="N307" i="52"/>
  <c r="O307" i="52"/>
  <c r="J308" i="52"/>
  <c r="N308" i="52"/>
  <c r="O308" i="52"/>
  <c r="J309" i="52"/>
  <c r="N309" i="52"/>
  <c r="O309" i="52"/>
  <c r="J310" i="52"/>
  <c r="N310" i="52"/>
  <c r="O310" i="52"/>
  <c r="J311" i="52"/>
  <c r="N311" i="52"/>
  <c r="O311" i="52"/>
  <c r="J312" i="52"/>
  <c r="N312" i="52"/>
  <c r="O312" i="52"/>
  <c r="P302" i="52" l="1"/>
  <c r="P298" i="52"/>
  <c r="P296" i="52"/>
  <c r="P284" i="52"/>
  <c r="P312" i="52"/>
  <c r="P304" i="52"/>
  <c r="P292" i="52"/>
  <c r="P308" i="52"/>
  <c r="P309" i="52"/>
  <c r="P293" i="52"/>
  <c r="P285" i="52"/>
  <c r="P288" i="52"/>
  <c r="P286" i="52"/>
  <c r="P289" i="52"/>
  <c r="P310" i="52"/>
  <c r="P306" i="52"/>
  <c r="P294" i="52"/>
  <c r="P290" i="52"/>
  <c r="P311" i="52"/>
  <c r="P307" i="52"/>
  <c r="P303" i="52"/>
  <c r="P291" i="52"/>
  <c r="P287" i="52"/>
  <c r="P283" i="52"/>
  <c r="W332" i="18" l="1"/>
  <c r="J279" i="52"/>
  <c r="AL220" i="18"/>
  <c r="AM220" i="18" s="1"/>
  <c r="J278" i="52" l="1"/>
  <c r="O278" i="52"/>
  <c r="I175" i="18" l="1"/>
  <c r="J277" i="52"/>
  <c r="O277" i="52"/>
  <c r="I177" i="18" l="1"/>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D390" i="15"/>
  <c r="D389" i="15" s="1"/>
  <c r="E390" i="15"/>
  <c r="O276" i="52"/>
  <c r="J276" i="52"/>
  <c r="W331" i="18"/>
  <c r="F390" i="15" l="1"/>
  <c r="D388" i="15"/>
  <c r="F389" i="15"/>
  <c r="J275" i="52"/>
  <c r="F388" i="15" l="1"/>
  <c r="D387" i="15"/>
  <c r="W330" i="18"/>
  <c r="D386" i="15" l="1"/>
  <c r="F387" i="15"/>
  <c r="J274" i="52"/>
  <c r="D385" i="15" l="1"/>
  <c r="F386" i="15"/>
  <c r="W329" i="18"/>
  <c r="D384" i="15" l="1"/>
  <c r="F385" i="15"/>
  <c r="J271" i="52"/>
  <c r="F384" i="15" l="1"/>
  <c r="D383" i="15"/>
  <c r="J171" i="18"/>
  <c r="W328" i="18"/>
  <c r="G170" i="18"/>
  <c r="J170" i="18" s="1"/>
  <c r="N52" i="18"/>
  <c r="D382" i="15" l="1"/>
  <c r="F383" i="15"/>
  <c r="O269" i="52"/>
  <c r="D381" i="15" l="1"/>
  <c r="F382" i="15"/>
  <c r="J268" i="52"/>
  <c r="N268" i="52"/>
  <c r="W327" i="18"/>
  <c r="D380" i="15" l="1"/>
  <c r="F381"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P278" i="52" l="1"/>
  <c r="P276" i="52"/>
  <c r="P279" i="52"/>
  <c r="P275" i="52"/>
  <c r="P277" i="52"/>
  <c r="F380" i="15"/>
  <c r="D379" i="15"/>
  <c r="P274" i="52"/>
  <c r="P271" i="52"/>
  <c r="P281" i="52"/>
  <c r="P273" i="52"/>
  <c r="P280" i="52"/>
  <c r="P272" i="52"/>
  <c r="P270" i="52"/>
  <c r="D378" i="15" l="1"/>
  <c r="F379" i="15"/>
  <c r="J263" i="52"/>
  <c r="D377" i="15" l="1"/>
  <c r="F378" i="15"/>
  <c r="W326" i="18"/>
  <c r="W325"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24"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13" i="52"/>
  <c r="N313" i="52"/>
  <c r="O313" i="52"/>
  <c r="D368" i="15" l="1"/>
  <c r="F369" i="15"/>
  <c r="P247" i="52"/>
  <c r="P245" i="52"/>
  <c r="P313" i="52"/>
  <c r="P252" i="52"/>
  <c r="P251" i="52"/>
  <c r="P249" i="52"/>
  <c r="P250" i="52"/>
  <c r="P248" i="52"/>
  <c r="P246" i="52"/>
  <c r="P244" i="52"/>
  <c r="P243" i="52"/>
  <c r="P242" i="52"/>
  <c r="P241" i="52"/>
  <c r="J238" i="52"/>
  <c r="F368" i="15" l="1"/>
  <c r="D367" i="15"/>
  <c r="J233" i="52"/>
  <c r="D366" i="15" l="1"/>
  <c r="F367" i="15"/>
  <c r="N230" i="52"/>
  <c r="F366" i="15" l="1"/>
  <c r="D365" i="15"/>
  <c r="O227" i="52"/>
  <c r="W323" i="18"/>
  <c r="W322" i="18"/>
  <c r="W321" i="18"/>
  <c r="D364" i="15" l="1"/>
  <c r="F365" i="15"/>
  <c r="O223" i="52"/>
  <c r="W320" i="18"/>
  <c r="F364" i="15" l="1"/>
  <c r="D363" i="15"/>
  <c r="J222" i="52"/>
  <c r="W319" i="18"/>
  <c r="D362" i="15" l="1"/>
  <c r="F363" i="15"/>
  <c r="W318" i="18"/>
  <c r="W317" i="18"/>
  <c r="D361" i="15" l="1"/>
  <c r="F362" i="15"/>
  <c r="O220" i="52"/>
  <c r="F361" i="15" l="1"/>
  <c r="D360" i="15"/>
  <c r="W316" i="18"/>
  <c r="W315" i="18"/>
  <c r="F360" i="15" l="1"/>
  <c r="D359" i="15"/>
  <c r="J218" i="52"/>
  <c r="D358" i="15" l="1"/>
  <c r="F359" i="15"/>
  <c r="F358" i="15" l="1"/>
  <c r="D357" i="15"/>
  <c r="J217" i="52"/>
  <c r="D356" i="15" l="1"/>
  <c r="F357" i="15"/>
  <c r="P76"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53"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314"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69" i="18"/>
  <c r="J169" i="18" s="1"/>
  <c r="G168" i="18"/>
  <c r="J177" i="18" s="1"/>
  <c r="W313" i="18"/>
  <c r="J176" i="18" l="1"/>
  <c r="K175" i="18" s="1"/>
  <c r="J175" i="18"/>
  <c r="J168" i="18"/>
  <c r="I172" i="18" s="1"/>
  <c r="F348" i="15"/>
  <c r="D347" i="15"/>
  <c r="O210" i="52"/>
  <c r="W312" i="18"/>
  <c r="D346" i="15" l="1"/>
  <c r="F347" i="15"/>
  <c r="J210" i="52"/>
  <c r="D345" i="15" l="1"/>
  <c r="F346" i="15"/>
  <c r="J209" i="52"/>
  <c r="O208" i="52"/>
  <c r="J208" i="52"/>
  <c r="D344" i="15" l="1"/>
  <c r="F345" i="15"/>
  <c r="W311" i="18"/>
  <c r="F344" i="15" l="1"/>
  <c r="D343" i="15"/>
  <c r="O207" i="52"/>
  <c r="J207" i="52"/>
  <c r="W310" i="18"/>
  <c r="D342" i="15" l="1"/>
  <c r="F343" i="15"/>
  <c r="W309" i="18"/>
  <c r="D341" i="15" l="1"/>
  <c r="F342" i="15"/>
  <c r="W308" i="18"/>
  <c r="D340" i="15" l="1"/>
  <c r="F341" i="15"/>
  <c r="O204" i="52"/>
  <c r="F340" i="15" l="1"/>
  <c r="D339" i="15"/>
  <c r="J203" i="52"/>
  <c r="W307"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8" i="18"/>
  <c r="J138" i="18" s="1"/>
  <c r="D337" i="15" l="1"/>
  <c r="F338" i="15"/>
  <c r="W306" i="18"/>
  <c r="W305" i="18"/>
  <c r="W304" i="18"/>
  <c r="J202" i="52"/>
  <c r="D336" i="15" l="1"/>
  <c r="F337" i="15"/>
  <c r="W303" i="18"/>
  <c r="J201" i="52"/>
  <c r="W302" i="18"/>
  <c r="F336" i="15" l="1"/>
  <c r="D335" i="15"/>
  <c r="J200" i="52"/>
  <c r="D334" i="15" l="1"/>
  <c r="F335" i="15"/>
  <c r="W301" i="18"/>
  <c r="W300" i="18"/>
  <c r="AL228" i="18"/>
  <c r="AL221" i="18" s="1"/>
  <c r="AM221" i="18" s="1"/>
  <c r="F334" i="15" l="1"/>
  <c r="D333" i="15"/>
  <c r="AM228" i="18"/>
  <c r="W299"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98" i="18"/>
  <c r="AM217" i="18" l="1"/>
  <c r="AL216" i="18"/>
  <c r="F330" i="15"/>
  <c r="D329" i="15"/>
  <c r="AM216" i="18" l="1"/>
  <c r="AL215" i="18"/>
  <c r="D328" i="15"/>
  <c r="F329" i="15"/>
  <c r="W297" i="18"/>
  <c r="AL214" i="18" l="1"/>
  <c r="AM215" i="18"/>
  <c r="D327" i="15"/>
  <c r="F328" i="15"/>
  <c r="W296" i="18"/>
  <c r="AM214" i="18" l="1"/>
  <c r="AL213" i="18"/>
  <c r="F327" i="15"/>
  <c r="D326" i="15"/>
  <c r="AL212" i="18" l="1"/>
  <c r="AM213" i="18"/>
  <c r="F326" i="15"/>
  <c r="D325" i="15"/>
  <c r="J195" i="52"/>
  <c r="O195" i="52"/>
  <c r="J194" i="52"/>
  <c r="W295" i="18"/>
  <c r="O13" i="18"/>
  <c r="AL211" i="18" l="1"/>
  <c r="AM212" i="18"/>
  <c r="F325" i="15"/>
  <c r="D324" i="15"/>
  <c r="N194" i="52"/>
  <c r="W294" i="18"/>
  <c r="W293" i="18"/>
  <c r="AL210" i="18" l="1"/>
  <c r="AM211" i="18"/>
  <c r="F324" i="15"/>
  <c r="D323" i="15"/>
  <c r="W292" i="18"/>
  <c r="AM210" i="18" l="1"/>
  <c r="AL209" i="18"/>
  <c r="F323" i="15"/>
  <c r="D322" i="15"/>
  <c r="R166" i="18"/>
  <c r="AL208" i="18" l="1"/>
  <c r="AM209" i="18"/>
  <c r="F322" i="15"/>
  <c r="D321" i="15"/>
  <c r="W291" i="18"/>
  <c r="AM208" i="18" l="1"/>
  <c r="AL207" i="18"/>
  <c r="F321" i="15"/>
  <c r="D320" i="15"/>
  <c r="G145" i="18"/>
  <c r="J145" i="18" s="1"/>
  <c r="W290" i="18"/>
  <c r="O190" i="52"/>
  <c r="J190" i="52"/>
  <c r="AL206" i="18" l="1"/>
  <c r="AM207" i="18"/>
  <c r="F320" i="15"/>
  <c r="D319" i="15"/>
  <c r="W289" i="18"/>
  <c r="AM206" i="18" l="1"/>
  <c r="AL205" i="18"/>
  <c r="F319" i="15"/>
  <c r="D318" i="15"/>
  <c r="N66" i="18"/>
  <c r="N64" i="18"/>
  <c r="AM205" i="18" l="1"/>
  <c r="AL204" i="18"/>
  <c r="F318" i="15"/>
  <c r="D317" i="15"/>
  <c r="O187" i="52"/>
  <c r="W288" i="18"/>
  <c r="AM204" i="18" l="1"/>
  <c r="AL203" i="18"/>
  <c r="F317" i="15"/>
  <c r="D316" i="15"/>
  <c r="J186" i="52"/>
  <c r="W287" i="18"/>
  <c r="W275" i="18"/>
  <c r="W274" i="18"/>
  <c r="AM203" i="18" l="1"/>
  <c r="AL202" i="18"/>
  <c r="F316" i="15"/>
  <c r="D315" i="15"/>
  <c r="J185" i="52"/>
  <c r="W286" i="18"/>
  <c r="AM202" i="18" l="1"/>
  <c r="AL201" i="18"/>
  <c r="F315" i="15"/>
  <c r="D314" i="15"/>
  <c r="AL200" i="18" l="1"/>
  <c r="AM201" i="18"/>
  <c r="F314" i="15"/>
  <c r="D313" i="15"/>
  <c r="AL199" i="18" l="1"/>
  <c r="AM200" i="18"/>
  <c r="F313" i="15"/>
  <c r="D312" i="15"/>
  <c r="N181" i="52"/>
  <c r="AL198" i="18" l="1"/>
  <c r="AM199" i="18"/>
  <c r="F312" i="15"/>
  <c r="D311" i="15"/>
  <c r="W285" i="18"/>
  <c r="B8" i="36"/>
  <c r="AL197" i="18" l="1"/>
  <c r="AM198" i="18"/>
  <c r="F311" i="15"/>
  <c r="D310" i="15"/>
  <c r="O178" i="52"/>
  <c r="J178" i="52"/>
  <c r="AM197" i="18" l="1"/>
  <c r="AL196" i="18"/>
  <c r="F310" i="15"/>
  <c r="D309" i="15"/>
  <c r="N62" i="18"/>
  <c r="W284" i="18"/>
  <c r="O177" i="52"/>
  <c r="J177" i="52"/>
  <c r="M119" i="18" l="1"/>
  <c r="O119" i="18" s="1"/>
  <c r="P119" i="18" s="1"/>
  <c r="AM196" i="18"/>
  <c r="AL195" i="18"/>
  <c r="F309" i="15"/>
  <c r="D308" i="15"/>
  <c r="O176" i="52"/>
  <c r="J176" i="52"/>
  <c r="AM195" i="18" l="1"/>
  <c r="AL194" i="18"/>
  <c r="F308" i="15"/>
  <c r="D307" i="15"/>
  <c r="F307" i="15" s="1"/>
  <c r="AM194" i="18" l="1"/>
  <c r="AL193" i="18"/>
  <c r="J174" i="52"/>
  <c r="W283" i="18"/>
  <c r="AM193" i="18" l="1"/>
  <c r="AL192" i="18"/>
  <c r="J168" i="52"/>
  <c r="O168" i="52"/>
  <c r="W282" i="18"/>
  <c r="AM192" i="18" l="1"/>
  <c r="AL191" i="18"/>
  <c r="AM191" i="18" s="1"/>
  <c r="AL392" i="18"/>
  <c r="AL391" i="18" s="1"/>
  <c r="AL390" i="18" s="1"/>
  <c r="O167" i="52"/>
  <c r="W281" i="18"/>
  <c r="AL389" i="18" l="1"/>
  <c r="AM390" i="18"/>
  <c r="AM391" i="18"/>
  <c r="AM392" i="18"/>
  <c r="O166" i="52"/>
  <c r="W280" i="18"/>
  <c r="AM389" i="18" l="1"/>
  <c r="AL388" i="18"/>
  <c r="W279" i="18"/>
  <c r="O165" i="52"/>
  <c r="J165" i="52"/>
  <c r="AM388" i="18" l="1"/>
  <c r="AL387" i="18"/>
  <c r="C7" i="60"/>
  <c r="D3" i="60"/>
  <c r="D4" i="60"/>
  <c r="D5" i="60"/>
  <c r="D2" i="60"/>
  <c r="F2" i="60"/>
  <c r="AL386" i="18" l="1"/>
  <c r="AM387" i="18"/>
  <c r="O162" i="52"/>
  <c r="J162" i="52"/>
  <c r="W278" i="18"/>
  <c r="AM386" i="18" l="1"/>
  <c r="AL385"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202" i="52" l="1"/>
  <c r="AM385" i="18"/>
  <c r="AL384" i="18"/>
  <c r="P203" i="52"/>
  <c r="P204" i="52"/>
  <c r="P201" i="52"/>
  <c r="P200" i="52"/>
  <c r="P190" i="52"/>
  <c r="P187" i="52"/>
  <c r="P177" i="52"/>
  <c r="P186" i="52"/>
  <c r="P185" i="52"/>
  <c r="P176" i="52"/>
  <c r="P162" i="52"/>
  <c r="P166" i="52"/>
  <c r="P174" i="52"/>
  <c r="P168" i="52"/>
  <c r="P165" i="52"/>
  <c r="P167" i="52"/>
  <c r="O160" i="52"/>
  <c r="J160" i="52"/>
  <c r="N160" i="52"/>
  <c r="AM384" i="18" l="1"/>
  <c r="AL383" i="18"/>
  <c r="W277" i="18"/>
  <c r="AM383" i="18" l="1"/>
  <c r="AL382" i="18"/>
  <c r="W276" i="18"/>
  <c r="AM382" i="18" l="1"/>
  <c r="AL381" i="18"/>
  <c r="AL190" i="18"/>
  <c r="AM381" i="18" l="1"/>
  <c r="AL380" i="18"/>
  <c r="AL189" i="18"/>
  <c r="AM190" i="18"/>
  <c r="N159" i="52"/>
  <c r="P160" i="52" s="1"/>
  <c r="W273" i="18"/>
  <c r="AL379" i="18" l="1"/>
  <c r="AM380"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79" i="18" l="1"/>
  <c r="AL378" i="18"/>
  <c r="AL187" i="18"/>
  <c r="AM188" i="18"/>
  <c r="AM378" i="18" l="1"/>
  <c r="AL377" i="18"/>
  <c r="AM187" i="18"/>
  <c r="AL186" i="18"/>
  <c r="G137" i="18"/>
  <c r="J137" i="18" s="1"/>
  <c r="J151" i="52"/>
  <c r="AL376" i="18" l="1"/>
  <c r="AM377" i="18"/>
  <c r="AL185" i="18"/>
  <c r="AM186" i="18"/>
  <c r="W272" i="18"/>
  <c r="W271" i="18"/>
  <c r="O150" i="52"/>
  <c r="AM376" i="18" l="1"/>
  <c r="AL375" i="18"/>
  <c r="AM185" i="18"/>
  <c r="AL184" i="18"/>
  <c r="AL374" i="18" l="1"/>
  <c r="AM375" i="18"/>
  <c r="AL183" i="18"/>
  <c r="AM184" i="18"/>
  <c r="Q146" i="52"/>
  <c r="J146" i="52"/>
  <c r="W270"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74" i="18" l="1"/>
  <c r="AL373" i="18"/>
  <c r="AM183" i="18"/>
  <c r="AL182" i="18"/>
  <c r="P151" i="52"/>
  <c r="P150" i="52"/>
  <c r="P157" i="52"/>
  <c r="P148" i="52"/>
  <c r="P158" i="52"/>
  <c r="P156" i="52"/>
  <c r="P155" i="52"/>
  <c r="P154" i="52"/>
  <c r="P153" i="52"/>
  <c r="P152" i="52"/>
  <c r="P149" i="52"/>
  <c r="P147" i="52"/>
  <c r="O145" i="52"/>
  <c r="J145" i="52"/>
  <c r="J144" i="52"/>
  <c r="J143" i="52"/>
  <c r="AL372" i="18" l="1"/>
  <c r="AM373" i="18"/>
  <c r="AL181" i="18"/>
  <c r="AM182" i="18"/>
  <c r="W269" i="18"/>
  <c r="AL371" i="18" l="1"/>
  <c r="AM372" i="18"/>
  <c r="AM181" i="18"/>
  <c r="AL180" i="18"/>
  <c r="G151" i="18"/>
  <c r="J151" i="18" s="1"/>
  <c r="J153" i="18" s="1"/>
  <c r="I153" i="18" s="1"/>
  <c r="G144" i="18"/>
  <c r="J144" i="18" s="1"/>
  <c r="W268" i="18"/>
  <c r="AM371" i="18" l="1"/>
  <c r="AL370" i="18"/>
  <c r="J147" i="18"/>
  <c r="I147" i="18" s="1"/>
  <c r="AM180" i="18"/>
  <c r="AL179" i="18"/>
  <c r="O142" i="52"/>
  <c r="J142" i="52"/>
  <c r="W267" i="18"/>
  <c r="P28" i="18"/>
  <c r="AL369" i="18" l="1"/>
  <c r="AM370" i="18"/>
  <c r="P120" i="18"/>
  <c r="AM179" i="18"/>
  <c r="AL178" i="18"/>
  <c r="AM178" i="18" s="1"/>
  <c r="O140" i="52"/>
  <c r="J140" i="52"/>
  <c r="W266" i="18"/>
  <c r="AL368" i="18" l="1"/>
  <c r="AM369" i="18"/>
  <c r="W265" i="18"/>
  <c r="W264" i="18"/>
  <c r="O139" i="52"/>
  <c r="J139" i="52"/>
  <c r="AL367" i="18" l="1"/>
  <c r="AM368" i="18"/>
  <c r="W263" i="18"/>
  <c r="AL366" i="18" l="1"/>
  <c r="AM367" i="18"/>
  <c r="AM366" i="18" l="1"/>
  <c r="AL365" i="18"/>
  <c r="M41" i="52"/>
  <c r="AM365" i="18" l="1"/>
  <c r="AL364" i="18"/>
  <c r="O135" i="52"/>
  <c r="J135" i="52"/>
  <c r="AL363" i="18" l="1"/>
  <c r="AM364" i="18"/>
  <c r="AL362" i="18" l="1"/>
  <c r="AM363" i="18"/>
  <c r="W262" i="18"/>
  <c r="AL361" i="18" l="1"/>
  <c r="AM362" i="18"/>
  <c r="O132" i="52"/>
  <c r="W261" i="18"/>
  <c r="AM361" i="18" l="1"/>
  <c r="AL360" i="18"/>
  <c r="O131" i="52"/>
  <c r="J3" i="60"/>
  <c r="J4" i="60"/>
  <c r="J5" i="60"/>
  <c r="J2" i="60"/>
  <c r="I9" i="60"/>
  <c r="I7" i="60"/>
  <c r="AL359" i="18" l="1"/>
  <c r="AM360" i="18"/>
  <c r="O130" i="52"/>
  <c r="O129" i="52"/>
  <c r="W260" i="18"/>
  <c r="S237" i="18"/>
  <c r="W259" i="18"/>
  <c r="AL358" i="18" l="1"/>
  <c r="AM359" i="18"/>
  <c r="N129" i="52"/>
  <c r="AM358" i="18" l="1"/>
  <c r="AL357" i="18"/>
  <c r="O127" i="52"/>
  <c r="AL356" i="18" l="1"/>
  <c r="AM357" i="18"/>
  <c r="J126" i="52"/>
  <c r="O126" i="52"/>
  <c r="W258" i="18"/>
  <c r="AM356" i="18" l="1"/>
  <c r="AL355" i="18"/>
  <c r="O125" i="52"/>
  <c r="J125" i="52"/>
  <c r="AM355" i="18" l="1"/>
  <c r="AL354" i="18"/>
  <c r="W257" i="18"/>
  <c r="AM354" i="18" l="1"/>
  <c r="AL353"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6" i="18"/>
  <c r="AM353" i="18" l="1"/>
  <c r="AL352"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52" i="18" l="1"/>
  <c r="AL351" i="18"/>
  <c r="W255" i="18"/>
  <c r="AM351" i="18" l="1"/>
  <c r="AL350" i="18"/>
  <c r="AM350" i="18" l="1"/>
  <c r="AL349" i="18"/>
  <c r="O121" i="52"/>
  <c r="J121" i="52"/>
  <c r="W254" i="18"/>
  <c r="AL348" i="18" l="1"/>
  <c r="AM349" i="18"/>
  <c r="W253" i="18"/>
  <c r="J120" i="52"/>
  <c r="AM348" i="18" l="1"/>
  <c r="AL347" i="18"/>
  <c r="AL346" i="18" l="1"/>
  <c r="AM347" i="18"/>
  <c r="O117" i="52"/>
  <c r="AM346" i="18" l="1"/>
  <c r="AL345" i="18"/>
  <c r="O116" i="52"/>
  <c r="N116" i="52"/>
  <c r="AM345" i="18" l="1"/>
  <c r="AL344" i="18"/>
  <c r="W252" i="18"/>
  <c r="AL343" i="18" l="1"/>
  <c r="AM344"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L342" i="18" l="1"/>
  <c r="AM343" i="18"/>
  <c r="AL341" i="18" l="1"/>
  <c r="AM342" i="18"/>
  <c r="AL340" i="18" l="1"/>
  <c r="AM341" i="18"/>
  <c r="AM340" i="18" l="1"/>
  <c r="AL339" i="18"/>
  <c r="O112" i="52"/>
  <c r="AM339" i="18" l="1"/>
  <c r="AL338"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L337" i="18" l="1"/>
  <c r="AM338" i="18"/>
  <c r="P120" i="52"/>
  <c r="P121" i="52"/>
  <c r="D305" i="15"/>
  <c r="F305" i="15" s="1"/>
  <c r="P112" i="52"/>
  <c r="P113" i="52"/>
  <c r="P118" i="52"/>
  <c r="P122" i="52"/>
  <c r="P119" i="52"/>
  <c r="P114" i="52"/>
  <c r="P115" i="52"/>
  <c r="O110" i="52"/>
  <c r="AM337" i="18" l="1"/>
  <c r="AL336" i="18"/>
  <c r="D304" i="15"/>
  <c r="F304" i="15" s="1"/>
  <c r="W251" i="18"/>
  <c r="J108" i="52"/>
  <c r="AM336" i="18" l="1"/>
  <c r="AL335" i="18"/>
  <c r="D303" i="15"/>
  <c r="F303" i="15" s="1"/>
  <c r="W250" i="18"/>
  <c r="W249" i="18"/>
  <c r="AL334" i="18" l="1"/>
  <c r="AM335" i="18"/>
  <c r="D302" i="15"/>
  <c r="F302" i="15" s="1"/>
  <c r="O106" i="52"/>
  <c r="J106" i="52"/>
  <c r="AL333" i="18" l="1"/>
  <c r="AM334" i="18"/>
  <c r="D301" i="15"/>
  <c r="F301" i="15" s="1"/>
  <c r="J104" i="52"/>
  <c r="G136" i="18"/>
  <c r="J136" i="18" s="1"/>
  <c r="J140" i="18" s="1"/>
  <c r="I140" i="18" s="1"/>
  <c r="E276" i="15"/>
  <c r="E277" i="15"/>
  <c r="E278" i="15"/>
  <c r="E279" i="15"/>
  <c r="E280" i="15"/>
  <c r="AL332" i="18" l="1"/>
  <c r="AM333" i="18"/>
  <c r="D300" i="15"/>
  <c r="F300" i="15" s="1"/>
  <c r="W248" i="18"/>
  <c r="AL331" i="18" l="1"/>
  <c r="AM332" i="18"/>
  <c r="D299" i="15"/>
  <c r="F299" i="15" s="1"/>
  <c r="E7" i="60"/>
  <c r="N3" i="60"/>
  <c r="J14" i="60" s="1"/>
  <c r="F3" i="60"/>
  <c r="F4" i="60"/>
  <c r="F5" i="60"/>
  <c r="F6" i="60"/>
  <c r="AL330" i="18" l="1"/>
  <c r="AM331" i="18"/>
  <c r="D9" i="60"/>
  <c r="D13" i="60"/>
  <c r="D11" i="60"/>
  <c r="D15" i="60"/>
  <c r="D10" i="60"/>
  <c r="D14" i="60"/>
  <c r="D8" i="60"/>
  <c r="D12" i="60"/>
  <c r="D7" i="60"/>
  <c r="H8" i="60"/>
  <c r="J10"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47" i="18"/>
  <c r="AL329" i="18" l="1"/>
  <c r="AM330"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29" i="18" l="1"/>
  <c r="AL328" i="18"/>
  <c r="K21" i="60"/>
  <c r="I23" i="60"/>
  <c r="D296" i="15"/>
  <c r="F296" i="15" s="1"/>
  <c r="AL327" i="18" l="1"/>
  <c r="AM328" i="18"/>
  <c r="D295" i="15"/>
  <c r="F295" i="15" s="1"/>
  <c r="AL326" i="18" l="1"/>
  <c r="AM327"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26" i="18" l="1"/>
  <c r="AL325" i="18"/>
  <c r="P108" i="52"/>
  <c r="D293" i="15"/>
  <c r="F293" i="15" s="1"/>
  <c r="P111" i="52"/>
  <c r="P110" i="52"/>
  <c r="P106" i="52"/>
  <c r="P104" i="52"/>
  <c r="P107" i="52"/>
  <c r="P105" i="52"/>
  <c r="P99" i="52"/>
  <c r="P109" i="52"/>
  <c r="P103" i="52"/>
  <c r="P102" i="52"/>
  <c r="P101" i="52"/>
  <c r="P100" i="52"/>
  <c r="AL324" i="18" l="1"/>
  <c r="AM325" i="18"/>
  <c r="D292" i="15"/>
  <c r="F292" i="15" s="1"/>
  <c r="R385" i="18"/>
  <c r="J90" i="52"/>
  <c r="J95" i="52"/>
  <c r="W246" i="18"/>
  <c r="AJ229" i="18"/>
  <c r="AM324" i="18" l="1"/>
  <c r="AL323" i="18"/>
  <c r="D291" i="15"/>
  <c r="F291" i="15" s="1"/>
  <c r="F51" i="14"/>
  <c r="F52" i="14"/>
  <c r="F53" i="14"/>
  <c r="F54" i="14"/>
  <c r="F55" i="14"/>
  <c r="F56" i="14"/>
  <c r="F57" i="14"/>
  <c r="F58" i="14"/>
  <c r="F59" i="14"/>
  <c r="F60" i="14"/>
  <c r="F61" i="14"/>
  <c r="AM323" i="18" l="1"/>
  <c r="AL322" i="18"/>
  <c r="D290" i="15"/>
  <c r="F290" i="15" s="1"/>
  <c r="N92" i="52"/>
  <c r="O92" i="52"/>
  <c r="N93" i="52"/>
  <c r="O93" i="52"/>
  <c r="N94" i="52"/>
  <c r="O94" i="52"/>
  <c r="N95" i="52"/>
  <c r="O95" i="52"/>
  <c r="N96" i="52"/>
  <c r="O96" i="52"/>
  <c r="N97" i="52"/>
  <c r="O97" i="52"/>
  <c r="J92" i="52"/>
  <c r="J93" i="52"/>
  <c r="J94" i="52"/>
  <c r="J96" i="52"/>
  <c r="AL321" i="18" l="1"/>
  <c r="AM322" i="18"/>
  <c r="D289" i="15"/>
  <c r="F289" i="15" s="1"/>
  <c r="P97" i="52"/>
  <c r="P98" i="52"/>
  <c r="P95" i="52"/>
  <c r="P96" i="52"/>
  <c r="P94" i="52"/>
  <c r="P93" i="52"/>
  <c r="N91" i="52"/>
  <c r="P92" i="52" s="1"/>
  <c r="AL320" i="18" l="1"/>
  <c r="AM321" i="18"/>
  <c r="D288" i="15"/>
  <c r="F288" i="15" s="1"/>
  <c r="R290" i="18"/>
  <c r="T368" i="18" s="1"/>
  <c r="W245" i="18"/>
  <c r="W244" i="18"/>
  <c r="W243" i="18"/>
  <c r="M48" i="52"/>
  <c r="M47" i="52"/>
  <c r="N38" i="52"/>
  <c r="N37" i="52"/>
  <c r="M49" i="52"/>
  <c r="N50" i="52" s="1"/>
  <c r="AL319" i="18" l="1"/>
  <c r="AM320" i="18"/>
  <c r="D287" i="15"/>
  <c r="F287" i="15" s="1"/>
  <c r="N49" i="52"/>
  <c r="W242" i="18"/>
  <c r="AL318" i="18" l="1"/>
  <c r="AM319" i="18"/>
  <c r="D286" i="15"/>
  <c r="F286" i="15" s="1"/>
  <c r="AM318" i="18" l="1"/>
  <c r="AL317" i="18"/>
  <c r="D285" i="15"/>
  <c r="F285" i="15" s="1"/>
  <c r="W241" i="18"/>
  <c r="AL316" i="18" l="1"/>
  <c r="AM317" i="18"/>
  <c r="D284" i="15"/>
  <c r="F284" i="15" s="1"/>
  <c r="O90" i="52"/>
  <c r="O91" i="52"/>
  <c r="J91" i="52"/>
  <c r="AL315" i="18" l="1"/>
  <c r="AM316" i="18"/>
  <c r="D283" i="15"/>
  <c r="F283" i="15" s="1"/>
  <c r="N87" i="52"/>
  <c r="J87" i="52"/>
  <c r="O87" i="52"/>
  <c r="D347" i="20"/>
  <c r="D346" i="20"/>
  <c r="L28"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40" i="18"/>
  <c r="AL314" i="18" l="1"/>
  <c r="AM315" i="18"/>
  <c r="D282" i="15"/>
  <c r="F282" i="15" s="1"/>
  <c r="G32" i="57"/>
  <c r="H32" i="57"/>
  <c r="D32" i="57"/>
  <c r="I32" i="57" s="1"/>
  <c r="D345" i="20"/>
  <c r="W239" i="18"/>
  <c r="W238" i="18"/>
  <c r="AL313" i="18" l="1"/>
  <c r="AM314" i="18"/>
  <c r="D281" i="15"/>
  <c r="F281" i="15" s="1"/>
  <c r="W17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12" i="18" l="1"/>
  <c r="AM313" i="18"/>
  <c r="D280" i="15"/>
  <c r="F280" i="15" s="1"/>
  <c r="C46" i="56"/>
  <c r="B46" i="56"/>
  <c r="AL311" i="18" l="1"/>
  <c r="AM312" i="18"/>
  <c r="D279" i="15"/>
  <c r="F279" i="15" s="1"/>
  <c r="O84" i="52"/>
  <c r="W237" i="18"/>
  <c r="D343" i="20"/>
  <c r="AL310" i="18" l="1"/>
  <c r="AM311" i="18"/>
  <c r="D278" i="15"/>
  <c r="F278" i="15" s="1"/>
  <c r="W236" i="18"/>
  <c r="D342" i="20"/>
  <c r="J83" i="52"/>
  <c r="O83" i="52"/>
  <c r="W235" i="18"/>
  <c r="W234" i="18"/>
  <c r="F44" i="14"/>
  <c r="F45" i="14"/>
  <c r="F46" i="14"/>
  <c r="F47" i="14"/>
  <c r="F48" i="14"/>
  <c r="F49" i="14"/>
  <c r="F50" i="14"/>
  <c r="D341" i="20"/>
  <c r="AM310" i="18" l="1"/>
  <c r="AL309" i="18"/>
  <c r="D277" i="15"/>
  <c r="F277" i="15" s="1"/>
  <c r="AJ393" i="18"/>
  <c r="AM309" i="18" l="1"/>
  <c r="AL308" i="18"/>
  <c r="D276" i="15"/>
  <c r="F276" i="15" s="1"/>
  <c r="W233" i="18"/>
  <c r="AM308" i="18" l="1"/>
  <c r="AL307" i="18"/>
  <c r="D340" i="20"/>
  <c r="W232" i="18"/>
  <c r="H337" i="20"/>
  <c r="H338" i="20"/>
  <c r="H339" i="20"/>
  <c r="H340" i="20"/>
  <c r="H341" i="20"/>
  <c r="H368" i="20"/>
  <c r="H369" i="20"/>
  <c r="D339" i="20"/>
  <c r="AL306" i="18" l="1"/>
  <c r="AM307" i="18"/>
  <c r="B371" i="20"/>
  <c r="D332" i="20"/>
  <c r="D333" i="20"/>
  <c r="D334" i="20"/>
  <c r="D335" i="20"/>
  <c r="D336" i="20"/>
  <c r="D337" i="20"/>
  <c r="D338" i="20"/>
  <c r="D369" i="20"/>
  <c r="AM306" i="18" l="1"/>
  <c r="AL305" i="18"/>
  <c r="W231" i="18"/>
  <c r="D80" i="57"/>
  <c r="AL304" i="18" l="1"/>
  <c r="AM305" i="18"/>
  <c r="G46" i="10"/>
  <c r="AM304" i="18" l="1"/>
  <c r="AL303" i="18"/>
  <c r="D331" i="20"/>
  <c r="AL302" i="18" l="1"/>
  <c r="AM303" i="18"/>
  <c r="D330" i="20"/>
  <c r="AL301" i="18" l="1"/>
  <c r="AM302" i="18"/>
  <c r="W230" i="18"/>
  <c r="W229" i="18"/>
  <c r="AL300" i="18" l="1"/>
  <c r="AM301" i="18"/>
  <c r="D329" i="20"/>
  <c r="AL299" i="18" l="1"/>
  <c r="AM300" i="18"/>
  <c r="L47" i="52"/>
  <c r="AM299" i="18" l="1"/>
  <c r="AL298" i="18"/>
  <c r="AL297" i="18" l="1"/>
  <c r="AM298" i="18"/>
  <c r="D328" i="20"/>
  <c r="D327" i="20"/>
  <c r="AL296" i="18" l="1"/>
  <c r="AM297"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296" i="18" l="1"/>
  <c r="AL295" i="18"/>
  <c r="P83" i="52"/>
  <c r="P91" i="52"/>
  <c r="P90" i="52"/>
  <c r="P82" i="52"/>
  <c r="P89" i="52"/>
  <c r="P88" i="52"/>
  <c r="P84" i="52"/>
  <c r="P80" i="52"/>
  <c r="P85" i="52"/>
  <c r="P81" i="52"/>
  <c r="P79" i="52"/>
  <c r="P86" i="52"/>
  <c r="P78" i="52"/>
  <c r="P77" i="52"/>
  <c r="P76" i="52"/>
  <c r="P75" i="52"/>
  <c r="AM295" i="18" l="1"/>
  <c r="AL294" i="18"/>
  <c r="D326" i="20"/>
  <c r="D325" i="20"/>
  <c r="AL293" i="18" l="1"/>
  <c r="AM294" i="18"/>
  <c r="H320" i="20"/>
  <c r="H321" i="20"/>
  <c r="H322" i="20"/>
  <c r="H323" i="20"/>
  <c r="H324" i="20"/>
  <c r="H325" i="20"/>
  <c r="H326" i="20"/>
  <c r="H327" i="20"/>
  <c r="H328" i="20"/>
  <c r="H329" i="20"/>
  <c r="H330" i="20"/>
  <c r="H331" i="20"/>
  <c r="H332" i="20"/>
  <c r="H333" i="20"/>
  <c r="H334" i="20"/>
  <c r="H335" i="20"/>
  <c r="H336" i="20"/>
  <c r="D324" i="20"/>
  <c r="D323" i="20"/>
  <c r="D322" i="20"/>
  <c r="D321" i="20"/>
  <c r="AL292" i="18" l="1"/>
  <c r="AM292" i="18" s="1"/>
  <c r="AM293" i="18"/>
  <c r="D320" i="20"/>
  <c r="D319" i="20"/>
  <c r="D318" i="20" l="1"/>
  <c r="D317" i="20"/>
  <c r="W228" i="18" l="1"/>
  <c r="W227" i="18"/>
  <c r="R189"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6" i="18"/>
  <c r="W225" i="18"/>
  <c r="L43" i="18"/>
  <c r="N36" i="52"/>
  <c r="N35" i="52"/>
  <c r="Q42" i="52"/>
  <c r="W224" i="18" l="1"/>
  <c r="W223"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222" i="18" l="1"/>
  <c r="W221" i="18"/>
  <c r="N32" i="52"/>
  <c r="N31" i="52"/>
  <c r="W220" i="18" l="1"/>
  <c r="W219" i="18"/>
  <c r="N30" i="52"/>
  <c r="N29" i="52"/>
  <c r="W218" i="18" l="1"/>
  <c r="W217" i="18"/>
  <c r="N28" i="52"/>
  <c r="N27" i="52"/>
  <c r="AL291" i="18" l="1"/>
  <c r="D313" i="20"/>
  <c r="AL290" i="18" l="1"/>
  <c r="AM291" i="18"/>
  <c r="L127" i="18"/>
  <c r="L121" i="18" l="1"/>
  <c r="L122" i="18"/>
  <c r="N122" i="18" s="1"/>
  <c r="L124" i="18"/>
  <c r="N124" i="18" s="1"/>
  <c r="L123" i="18"/>
  <c r="N123" i="18" s="1"/>
  <c r="M127" i="18"/>
  <c r="AM290" i="18"/>
  <c r="AL289" i="18"/>
  <c r="L118" i="18"/>
  <c r="W216" i="18"/>
  <c r="W215" i="18"/>
  <c r="N24" i="52"/>
  <c r="N26" i="52"/>
  <c r="N25" i="52"/>
  <c r="AL288" i="18" l="1"/>
  <c r="AM289" i="18"/>
  <c r="L120" i="18"/>
  <c r="D312" i="20"/>
  <c r="D311" i="20"/>
  <c r="D310" i="20"/>
  <c r="H370" i="20"/>
  <c r="G370" i="20"/>
  <c r="G369" i="20" s="1"/>
  <c r="H319" i="20"/>
  <c r="H318" i="20"/>
  <c r="H317" i="20"/>
  <c r="H316" i="20"/>
  <c r="H315" i="20"/>
  <c r="H314" i="20"/>
  <c r="H313" i="20"/>
  <c r="H312" i="20"/>
  <c r="H311" i="20"/>
  <c r="H310" i="20"/>
  <c r="H309" i="20"/>
  <c r="G368" i="20" l="1"/>
  <c r="J369" i="20"/>
  <c r="I369" i="20"/>
  <c r="K369" i="20"/>
  <c r="AM288" i="18"/>
  <c r="AL287" i="18"/>
  <c r="I370" i="20"/>
  <c r="J370" i="20"/>
  <c r="W214" i="18"/>
  <c r="W213" i="18"/>
  <c r="N23" i="52"/>
  <c r="N22" i="52"/>
  <c r="I368" i="20" l="1"/>
  <c r="G367" i="20"/>
  <c r="J368" i="20"/>
  <c r="K368" i="20"/>
  <c r="AL286" i="18"/>
  <c r="AM287" i="18"/>
  <c r="W212" i="18"/>
  <c r="W211" i="18"/>
  <c r="N21" i="52"/>
  <c r="N20" i="52"/>
  <c r="G366" i="20" l="1"/>
  <c r="I367" i="20"/>
  <c r="K367" i="20"/>
  <c r="J367" i="20"/>
  <c r="AL285" i="18"/>
  <c r="AM286" i="18"/>
  <c r="D309" i="20"/>
  <c r="J366" i="20" l="1"/>
  <c r="K366" i="20"/>
  <c r="I366" i="20"/>
  <c r="G365" i="20"/>
  <c r="AL284" i="18"/>
  <c r="AM285" i="18"/>
  <c r="D308" i="20"/>
  <c r="G364" i="20" l="1"/>
  <c r="I365" i="20"/>
  <c r="J365" i="20"/>
  <c r="K365" i="20"/>
  <c r="AL283" i="18"/>
  <c r="AM284" i="18"/>
  <c r="D307" i="20"/>
  <c r="I364" i="20" l="1"/>
  <c r="J364" i="20"/>
  <c r="K364" i="20"/>
  <c r="G363" i="20"/>
  <c r="AL282" i="18"/>
  <c r="AM283" i="18"/>
  <c r="AL177" i="18" l="1"/>
  <c r="G362" i="20"/>
  <c r="I363" i="20"/>
  <c r="J363" i="20"/>
  <c r="K363" i="20"/>
  <c r="AL281" i="18"/>
  <c r="AM282" i="18"/>
  <c r="W210" i="18"/>
  <c r="W209" i="18"/>
  <c r="AL176" i="18" l="1"/>
  <c r="AM177" i="18"/>
  <c r="K362" i="20"/>
  <c r="G361" i="20"/>
  <c r="I362" i="20"/>
  <c r="J362" i="20"/>
  <c r="AL280" i="18"/>
  <c r="AM281" i="18"/>
  <c r="AL175" i="18" l="1"/>
  <c r="AM176" i="18"/>
  <c r="I361" i="20"/>
  <c r="G360" i="20"/>
  <c r="J361" i="20"/>
  <c r="K361" i="20"/>
  <c r="AL279" i="18"/>
  <c r="AM280" i="18"/>
  <c r="G121" i="18"/>
  <c r="F121" i="18" s="1"/>
  <c r="G118" i="18"/>
  <c r="F118" i="18" s="1"/>
  <c r="N28" i="18"/>
  <c r="AL174" i="18" l="1"/>
  <c r="AM175" i="18"/>
  <c r="I360" i="20"/>
  <c r="K360" i="20"/>
  <c r="G359" i="20"/>
  <c r="J360" i="20"/>
  <c r="AL278" i="18"/>
  <c r="AM279" i="18"/>
  <c r="D306" i="20"/>
  <c r="AL173" i="18" l="1"/>
  <c r="AM174" i="18"/>
  <c r="G358" i="20"/>
  <c r="J359" i="20"/>
  <c r="K359" i="20"/>
  <c r="I359" i="20"/>
  <c r="AL277" i="18"/>
  <c r="AM278" i="18"/>
  <c r="D305" i="20"/>
  <c r="AL172" i="18" l="1"/>
  <c r="AM173" i="18"/>
  <c r="K358" i="20"/>
  <c r="I358" i="20"/>
  <c r="G357" i="20"/>
  <c r="J358" i="20"/>
  <c r="AL276" i="18"/>
  <c r="AM277" i="18"/>
  <c r="AL171" i="18" l="1"/>
  <c r="AM172" i="18"/>
  <c r="I357" i="20"/>
  <c r="J357" i="20"/>
  <c r="G356" i="20"/>
  <c r="K357" i="20"/>
  <c r="AM276" i="18"/>
  <c r="AL275" i="18"/>
  <c r="D304" i="20"/>
  <c r="W208" i="18"/>
  <c r="W207" i="18"/>
  <c r="N17" i="52"/>
  <c r="N16" i="52"/>
  <c r="AL170" i="18" l="1"/>
  <c r="AM171" i="18"/>
  <c r="I356" i="20"/>
  <c r="G355" i="20"/>
  <c r="J356" i="20"/>
  <c r="K356" i="20"/>
  <c r="L119" i="18"/>
  <c r="AL169" i="18" l="1"/>
  <c r="AL168" i="18" s="1"/>
  <c r="AM170" i="18"/>
  <c r="J355" i="20"/>
  <c r="I355" i="20"/>
  <c r="G354" i="20"/>
  <c r="K355" i="20"/>
  <c r="W206" i="18"/>
  <c r="W205" i="18"/>
  <c r="D303" i="20"/>
  <c r="D302" i="20"/>
  <c r="W204" i="18"/>
  <c r="AL167" i="18" l="1"/>
  <c r="AM168" i="18"/>
  <c r="AM169" i="18"/>
  <c r="K354" i="20"/>
  <c r="J354" i="20"/>
  <c r="G353" i="20"/>
  <c r="I354" i="20"/>
  <c r="D301" i="20"/>
  <c r="D300" i="20"/>
  <c r="D299" i="20"/>
  <c r="AM167" i="18" l="1"/>
  <c r="AL166" i="18"/>
  <c r="I353" i="20"/>
  <c r="G352" i="20"/>
  <c r="J353" i="20"/>
  <c r="K353" i="20"/>
  <c r="P38"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02" i="18"/>
  <c r="AL163" i="18" l="1"/>
  <c r="AM164" i="18"/>
  <c r="I350" i="20"/>
  <c r="J350" i="20"/>
  <c r="K350" i="20"/>
  <c r="G349" i="20"/>
  <c r="D296" i="20"/>
  <c r="D295" i="20"/>
  <c r="AM163" i="18" l="1"/>
  <c r="AL162" i="18"/>
  <c r="K349" i="20"/>
  <c r="I349" i="20"/>
  <c r="J349" i="20"/>
  <c r="G348" i="20"/>
  <c r="W201" i="18"/>
  <c r="W200" i="18"/>
  <c r="L11" i="52"/>
  <c r="L10" i="52"/>
  <c r="AL274" i="18"/>
  <c r="AL273" i="18" s="1"/>
  <c r="AL272"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75" i="18"/>
  <c r="AM274" i="18"/>
  <c r="AM273" i="18"/>
  <c r="W199" i="18"/>
  <c r="W198" i="18"/>
  <c r="AM161" i="18" l="1"/>
  <c r="AL160" i="18"/>
  <c r="G346" i="20"/>
  <c r="J347" i="20"/>
  <c r="I347" i="20"/>
  <c r="K347" i="20"/>
  <c r="D293" i="20"/>
  <c r="AL159" i="18" l="1"/>
  <c r="AM160" i="18"/>
  <c r="K346" i="20"/>
  <c r="G345" i="20"/>
  <c r="J346" i="20"/>
  <c r="I346" i="20"/>
  <c r="W197" i="18"/>
  <c r="AM159" i="18" l="1"/>
  <c r="AL158" i="18"/>
  <c r="K345" i="20"/>
  <c r="G344" i="20"/>
  <c r="J345" i="20"/>
  <c r="I345" i="20"/>
  <c r="D292" i="20"/>
  <c r="C8" i="36"/>
  <c r="W196"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1" i="18"/>
  <c r="AL270" i="18" s="1"/>
  <c r="D288" i="20"/>
  <c r="AL153" i="18" l="1"/>
  <c r="AM154" i="18"/>
  <c r="I340" i="20"/>
  <c r="K340" i="20"/>
  <c r="G339" i="20"/>
  <c r="J340" i="20"/>
  <c r="AM272" i="18"/>
  <c r="AM271"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5"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90"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66"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94" i="18"/>
  <c r="D278" i="20"/>
  <c r="D269" i="15" l="1"/>
  <c r="F270" i="15"/>
  <c r="AL140" i="18"/>
  <c r="AM141" i="18"/>
  <c r="J327" i="20"/>
  <c r="K327" i="20"/>
  <c r="G326" i="20"/>
  <c r="I327" i="20"/>
  <c r="W172"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65"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9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34" i="18"/>
  <c r="N135" i="18"/>
  <c r="N136" i="18"/>
  <c r="N137" i="18"/>
  <c r="N138" i="18"/>
  <c r="N139" i="18"/>
  <c r="N140" i="18"/>
  <c r="N141" i="18"/>
  <c r="N133"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3"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92" i="18"/>
  <c r="AM124" i="18" l="1"/>
  <c r="AL123" i="18"/>
  <c r="AM123" i="18" l="1"/>
  <c r="AL122" i="18"/>
  <c r="AL121" i="18" l="1"/>
  <c r="AM122" i="18"/>
  <c r="W186" i="18"/>
  <c r="W187" i="18"/>
  <c r="W188" i="18"/>
  <c r="W189" i="18"/>
  <c r="W190" i="18"/>
  <c r="W191" i="18"/>
  <c r="W203" i="18"/>
  <c r="W185" i="18"/>
  <c r="AM121" i="18" l="1"/>
  <c r="AL120" i="18"/>
  <c r="N65" i="18"/>
  <c r="AM120" i="18" l="1"/>
  <c r="AL119" i="18"/>
  <c r="AM119" i="18" l="1"/>
  <c r="AL118" i="18"/>
  <c r="T169" i="18"/>
  <c r="S61" i="18"/>
  <c r="S62" i="18" s="1"/>
  <c r="S63" i="18" s="1"/>
  <c r="R190" i="18"/>
  <c r="R188" i="18"/>
  <c r="D57" i="51"/>
  <c r="AL117" i="18" l="1"/>
  <c r="AM118" i="18"/>
  <c r="S64" i="18"/>
  <c r="S65" i="18" s="1"/>
  <c r="AM117" i="18" l="1"/>
  <c r="AL116" i="18"/>
  <c r="S66" i="18"/>
  <c r="S67" i="18" s="1"/>
  <c r="N38" i="18"/>
  <c r="Q86" i="18" l="1"/>
  <c r="R187"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8" i="18" l="1"/>
  <c r="S69" i="18" s="1"/>
  <c r="AL113" i="18"/>
  <c r="AM114" i="18"/>
  <c r="S20" i="18"/>
  <c r="S21" i="18" s="1"/>
  <c r="S70" i="18" l="1"/>
  <c r="AL112" i="18"/>
  <c r="AM113" i="18"/>
  <c r="N53" i="18"/>
  <c r="M121" i="18" l="1"/>
  <c r="O121" i="18" s="1"/>
  <c r="P121" i="18" s="1"/>
  <c r="Q161" i="18"/>
  <c r="S71" i="18"/>
  <c r="S72" i="18" s="1"/>
  <c r="S73" i="18" s="1"/>
  <c r="S74" i="18" s="1"/>
  <c r="S75" i="18" s="1"/>
  <c r="S76" i="18" s="1"/>
  <c r="S77" i="18" s="1"/>
  <c r="S78" i="18" s="1"/>
  <c r="S79" i="18" s="1"/>
  <c r="S80" i="18" s="1"/>
  <c r="S81" i="18" s="1"/>
  <c r="S82" i="18" s="1"/>
  <c r="AM112" i="18"/>
  <c r="AL111" i="18"/>
  <c r="D108" i="50"/>
  <c r="N121" i="18" l="1"/>
  <c r="AL110" i="18"/>
  <c r="AM111" i="18"/>
  <c r="AL109" i="18" l="1"/>
  <c r="AM110" i="18"/>
  <c r="N120" i="18" l="1"/>
  <c r="AL108" i="18"/>
  <c r="AM109" i="18"/>
  <c r="N22" i="33"/>
  <c r="R22" i="33" s="1"/>
  <c r="E22" i="33" l="1"/>
  <c r="AL107" i="18"/>
  <c r="AM108" i="18"/>
  <c r="C22" i="33"/>
  <c r="J22" i="33"/>
  <c r="F22" i="33"/>
  <c r="B22" i="33"/>
  <c r="I22" i="33"/>
  <c r="L22" i="33"/>
  <c r="H22" i="33"/>
  <c r="D22" i="33"/>
  <c r="K22" i="33"/>
  <c r="G22" i="33"/>
  <c r="AM107" i="18" l="1"/>
  <c r="AL106" i="18"/>
  <c r="AL105" i="18" l="1"/>
  <c r="AM106" i="18"/>
  <c r="AL104" i="18" l="1"/>
  <c r="AM105" i="18"/>
  <c r="AL269" i="18"/>
  <c r="AM270" i="18"/>
  <c r="AL103" i="18" l="1"/>
  <c r="AM104" i="18"/>
  <c r="AL268" i="18"/>
  <c r="AM269" i="18"/>
  <c r="AL102" i="18" l="1"/>
  <c r="AM103" i="18"/>
  <c r="AL267" i="18"/>
  <c r="AM268" i="18"/>
  <c r="S22" i="18"/>
  <c r="S23" i="18" s="1"/>
  <c r="N90" i="18"/>
  <c r="AL101" i="18" l="1"/>
  <c r="AM102" i="18"/>
  <c r="AL266" i="18"/>
  <c r="AM267"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S32" i="18" s="1"/>
  <c r="AM101" i="18"/>
  <c r="AL100" i="18"/>
  <c r="AM266" i="18"/>
  <c r="AL265" i="18"/>
  <c r="D73" i="48"/>
  <c r="N119" i="18" l="1"/>
  <c r="AL99" i="18"/>
  <c r="AM100" i="18"/>
  <c r="AL264" i="18"/>
  <c r="AM265" i="18"/>
  <c r="AM99" i="18" l="1"/>
  <c r="AL98" i="18"/>
  <c r="AL263" i="18"/>
  <c r="AM264" i="18"/>
  <c r="AL97" i="18" l="1"/>
  <c r="AM98" i="18"/>
  <c r="AL262" i="18"/>
  <c r="AM263" i="18"/>
  <c r="S33" i="18" l="1"/>
  <c r="S34" i="18" s="1"/>
  <c r="AM97" i="18"/>
  <c r="AL96" i="18"/>
  <c r="AL261" i="18"/>
  <c r="AM262" i="18"/>
  <c r="N23" i="33"/>
  <c r="D23" i="33" s="1"/>
  <c r="AM96" i="18" l="1"/>
  <c r="AL95" i="18"/>
  <c r="AL260" i="18"/>
  <c r="AM261"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5" i="18" l="1"/>
  <c r="S36" i="18" s="1"/>
  <c r="S37" i="18" s="1"/>
  <c r="F26" i="49"/>
  <c r="G26" i="49"/>
  <c r="AL94" i="18"/>
  <c r="AM95" i="18"/>
  <c r="AL259" i="18"/>
  <c r="AM260" i="18"/>
  <c r="N21" i="18"/>
  <c r="M118" i="18" l="1"/>
  <c r="Q56" i="18"/>
  <c r="R186" i="18"/>
  <c r="S38" i="18"/>
  <c r="S39" i="18" s="1"/>
  <c r="AJ397" i="18"/>
  <c r="AJ398" i="18" s="1"/>
  <c r="AM94" i="18"/>
  <c r="AL93" i="18"/>
  <c r="AL258" i="18"/>
  <c r="AM259" i="18"/>
  <c r="S40" i="18" l="1"/>
  <c r="AL92" i="18"/>
  <c r="AM93" i="18"/>
  <c r="AL257" i="18"/>
  <c r="AM258" i="18"/>
  <c r="S96" i="18"/>
  <c r="S97" i="18" s="1"/>
  <c r="S41" i="18" l="1"/>
  <c r="AL91" i="18"/>
  <c r="AM92" i="18"/>
  <c r="AM257" i="18"/>
  <c r="AL256" i="18"/>
  <c r="S42" i="18" l="1"/>
  <c r="S43" i="18" s="1"/>
  <c r="S44" i="18" s="1"/>
  <c r="S45" i="18" s="1"/>
  <c r="AL90" i="18"/>
  <c r="AM91" i="18"/>
  <c r="AL255" i="18"/>
  <c r="AM256" i="18"/>
  <c r="S46" i="18" l="1"/>
  <c r="S47" i="18" s="1"/>
  <c r="S48" i="18" s="1"/>
  <c r="S49" i="18" s="1"/>
  <c r="S50" i="18" s="1"/>
  <c r="S51" i="18" s="1"/>
  <c r="S52" i="18" s="1"/>
  <c r="S53" i="18" s="1"/>
  <c r="S54" i="18" s="1"/>
  <c r="AM90" i="18"/>
  <c r="AL89" i="18"/>
  <c r="AM255" i="18"/>
  <c r="AL254" i="18"/>
  <c r="AL88" i="18" l="1"/>
  <c r="AM89" i="18"/>
  <c r="AM254" i="18"/>
  <c r="AL253" i="18"/>
  <c r="AM88" i="18" l="1"/>
  <c r="AL87" i="18"/>
  <c r="AL252" i="18"/>
  <c r="AM253" i="18"/>
  <c r="B10" i="36"/>
  <c r="AL86" i="18" l="1"/>
  <c r="AM87" i="18"/>
  <c r="AL251" i="18"/>
  <c r="AM252" i="18"/>
  <c r="S98" i="18"/>
  <c r="S99" i="18" s="1"/>
  <c r="S100" i="18" s="1"/>
  <c r="AL85" i="18" l="1"/>
  <c r="AM86" i="18"/>
  <c r="S101" i="18"/>
  <c r="S102" i="18" s="1"/>
  <c r="AL250" i="18"/>
  <c r="AM251" i="18"/>
  <c r="N25" i="33"/>
  <c r="N24" i="33"/>
  <c r="N21" i="33"/>
  <c r="N20" i="33"/>
  <c r="N19" i="33"/>
  <c r="N18" i="33"/>
  <c r="L18" i="33" s="1"/>
  <c r="N17" i="33"/>
  <c r="N9" i="33"/>
  <c r="N3" i="33"/>
  <c r="N4" i="33"/>
  <c r="AL84" i="18" l="1"/>
  <c r="AM85" i="18"/>
  <c r="AM250" i="18"/>
  <c r="AL249" i="18"/>
  <c r="S103" i="18"/>
  <c r="S104" i="18" s="1"/>
  <c r="S105"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49" i="18"/>
  <c r="AL248" i="18"/>
  <c r="AC15" i="33"/>
  <c r="AL82" i="18" l="1"/>
  <c r="AM83" i="18"/>
  <c r="AM248" i="18"/>
  <c r="AL247" i="18"/>
  <c r="N16" i="33"/>
  <c r="AL81" i="18" l="1"/>
  <c r="AM82" i="18"/>
  <c r="AM247" i="18"/>
  <c r="AL246" i="18"/>
  <c r="AM246" i="18" s="1"/>
  <c r="L16" i="33"/>
  <c r="J16" i="33"/>
  <c r="F16" i="33"/>
  <c r="C16" i="33"/>
  <c r="K16" i="33"/>
  <c r="G16" i="33"/>
  <c r="H16" i="33"/>
  <c r="D16" i="33"/>
  <c r="I16" i="33"/>
  <c r="E16" i="33"/>
  <c r="B16" i="33"/>
  <c r="R16" i="33"/>
  <c r="AM393" i="18" l="1"/>
  <c r="AN393" i="18" s="1"/>
  <c r="AJ396"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99" i="18" l="1"/>
  <c r="AJ400"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6" i="18" l="1"/>
  <c r="AL77" i="18"/>
  <c r="AM78" i="18"/>
  <c r="G307" i="20" l="1"/>
  <c r="K308" i="20"/>
  <c r="J308" i="20"/>
  <c r="I308" i="20"/>
  <c r="S107" i="18"/>
  <c r="AL76" i="18"/>
  <c r="AM77" i="18"/>
  <c r="S108" i="18" l="1"/>
  <c r="S109" i="18" s="1"/>
  <c r="G306" i="20"/>
  <c r="J307" i="20"/>
  <c r="I307" i="20"/>
  <c r="K307" i="20"/>
  <c r="AL75" i="18"/>
  <c r="AM76" i="18"/>
  <c r="O118" i="18"/>
  <c r="P118" i="18" s="1"/>
  <c r="N118" i="18" l="1"/>
  <c r="N127" i="18" s="1"/>
  <c r="R185" i="18"/>
  <c r="S110" i="18"/>
  <c r="S111" i="18" s="1"/>
  <c r="S112" i="18" s="1"/>
  <c r="AJ235" i="18"/>
  <c r="AJ236" i="18" s="1"/>
  <c r="G305" i="20"/>
  <c r="I306" i="20"/>
  <c r="K306" i="20"/>
  <c r="J306" i="20"/>
  <c r="AL74" i="18"/>
  <c r="AM75" i="18"/>
  <c r="R198" i="18" l="1"/>
  <c r="T355" i="18" s="1"/>
  <c r="G304" i="20"/>
  <c r="I305" i="20"/>
  <c r="K305" i="20"/>
  <c r="J305" i="20"/>
  <c r="AL73" i="18"/>
  <c r="AM74" i="18"/>
  <c r="R90" i="18"/>
  <c r="V82" i="18" s="1"/>
  <c r="W82" i="18" l="1"/>
  <c r="X82" i="18"/>
  <c r="V81" i="18"/>
  <c r="V80" i="18"/>
  <c r="V53" i="18"/>
  <c r="V52" i="18"/>
  <c r="V79" i="18"/>
  <c r="X79" i="18" s="1"/>
  <c r="V48" i="18"/>
  <c r="V49" i="18"/>
  <c r="V54" i="18"/>
  <c r="V55" i="18"/>
  <c r="V50" i="18"/>
  <c r="V51" i="18"/>
  <c r="V358" i="18"/>
  <c r="S175" i="18"/>
  <c r="V160" i="18"/>
  <c r="V78" i="18"/>
  <c r="V76" i="18"/>
  <c r="V75" i="18"/>
  <c r="X75" i="18" s="1"/>
  <c r="V74" i="18"/>
  <c r="W74" i="18" s="1"/>
  <c r="V47" i="18"/>
  <c r="W47" i="18" s="1"/>
  <c r="V46" i="18"/>
  <c r="V73" i="18"/>
  <c r="V77" i="18"/>
  <c r="V85" i="18"/>
  <c r="V45" i="18"/>
  <c r="U368" i="18"/>
  <c r="V368" i="18" s="1"/>
  <c r="V44" i="18"/>
  <c r="V43" i="18"/>
  <c r="V42" i="18"/>
  <c r="W42" i="18" s="1"/>
  <c r="V41" i="18"/>
  <c r="V40" i="18"/>
  <c r="X40" i="18" s="1"/>
  <c r="S174" i="18"/>
  <c r="X175" i="18" s="1"/>
  <c r="V38" i="18"/>
  <c r="W38" i="18" s="1"/>
  <c r="V39" i="18"/>
  <c r="V72" i="18"/>
  <c r="W72" i="18" s="1"/>
  <c r="V37" i="18"/>
  <c r="V94" i="18"/>
  <c r="V71" i="18"/>
  <c r="V70" i="18"/>
  <c r="V69" i="18"/>
  <c r="W69" i="18" s="1"/>
  <c r="V36" i="18"/>
  <c r="V35" i="18"/>
  <c r="V34" i="18"/>
  <c r="V33" i="18"/>
  <c r="V32" i="18"/>
  <c r="W32" i="18" s="1"/>
  <c r="V68" i="18"/>
  <c r="V67" i="18"/>
  <c r="V31" i="18"/>
  <c r="V29" i="18"/>
  <c r="W29" i="18" s="1"/>
  <c r="V30" i="18"/>
  <c r="V28" i="18"/>
  <c r="X28" i="18" s="1"/>
  <c r="G303" i="20"/>
  <c r="K304" i="20"/>
  <c r="I304" i="20"/>
  <c r="J304" i="20"/>
  <c r="V27" i="18"/>
  <c r="W27" i="18" s="1"/>
  <c r="V111" i="18"/>
  <c r="V110" i="18"/>
  <c r="V26" i="18"/>
  <c r="W26" i="18" s="1"/>
  <c r="V66" i="18"/>
  <c r="V108" i="18"/>
  <c r="W108" i="18" s="1"/>
  <c r="V109" i="18"/>
  <c r="V106" i="18"/>
  <c r="W106" i="18" s="1"/>
  <c r="V107" i="18"/>
  <c r="V105" i="18"/>
  <c r="W105" i="18" s="1"/>
  <c r="V25" i="18"/>
  <c r="V24" i="18"/>
  <c r="W24" i="18" s="1"/>
  <c r="V65" i="18"/>
  <c r="V23" i="18"/>
  <c r="X23" i="18" s="1"/>
  <c r="V64" i="18"/>
  <c r="V63" i="18"/>
  <c r="V104" i="18"/>
  <c r="V62" i="18"/>
  <c r="V103" i="18"/>
  <c r="V22" i="18"/>
  <c r="V102" i="18"/>
  <c r="V21" i="18"/>
  <c r="V101" i="18"/>
  <c r="V100" i="18"/>
  <c r="V99" i="18"/>
  <c r="V97" i="18"/>
  <c r="V98" i="18"/>
  <c r="V20" i="18"/>
  <c r="V95" i="18"/>
  <c r="V96" i="18"/>
  <c r="AL72" i="18"/>
  <c r="AM73" i="18"/>
  <c r="W79" i="18" l="1"/>
  <c r="W80" i="18"/>
  <c r="X80" i="18"/>
  <c r="W81" i="18"/>
  <c r="X81" i="18"/>
  <c r="W52" i="18"/>
  <c r="X52" i="18"/>
  <c r="X53" i="18"/>
  <c r="W53" i="18"/>
  <c r="W50" i="18"/>
  <c r="X50" i="18"/>
  <c r="W54" i="18"/>
  <c r="X54" i="18"/>
  <c r="W48" i="18"/>
  <c r="X48" i="18"/>
  <c r="W51" i="18"/>
  <c r="X51" i="18"/>
  <c r="X55" i="18"/>
  <c r="W55" i="18"/>
  <c r="X49" i="18"/>
  <c r="W49" i="18"/>
  <c r="U175" i="18"/>
  <c r="V175" i="18" s="1"/>
  <c r="W160" i="18"/>
  <c r="X160" i="18"/>
  <c r="W78" i="18"/>
  <c r="X78" i="18"/>
  <c r="W76" i="18"/>
  <c r="X76" i="18"/>
  <c r="W75" i="18"/>
  <c r="X74" i="18"/>
  <c r="X47" i="18"/>
  <c r="W46" i="18"/>
  <c r="X46" i="18"/>
  <c r="W73" i="18"/>
  <c r="X73" i="18"/>
  <c r="W85" i="18"/>
  <c r="X85" i="18"/>
  <c r="W77" i="18"/>
  <c r="X77" i="18"/>
  <c r="W45" i="18"/>
  <c r="X45" i="18"/>
  <c r="U174" i="18"/>
  <c r="V174" i="18" s="1"/>
  <c r="X44" i="18"/>
  <c r="W44" i="18"/>
  <c r="X43" i="18"/>
  <c r="W43" i="18"/>
  <c r="X42" i="18"/>
  <c r="X41" i="18"/>
  <c r="W41" i="18"/>
  <c r="W40" i="18"/>
  <c r="X38" i="18"/>
  <c r="W39" i="18"/>
  <c r="X39" i="18"/>
  <c r="X72" i="18"/>
  <c r="W37" i="18"/>
  <c r="X37" i="18"/>
  <c r="W71" i="18"/>
  <c r="X71" i="18"/>
  <c r="W70" i="18"/>
  <c r="X70" i="18"/>
  <c r="X69" i="18"/>
  <c r="W36" i="18"/>
  <c r="X36" i="18"/>
  <c r="W35" i="18"/>
  <c r="X35" i="18"/>
  <c r="X34" i="18"/>
  <c r="W34" i="18"/>
  <c r="W33" i="18"/>
  <c r="X33" i="18"/>
  <c r="X32" i="18"/>
  <c r="W68" i="18"/>
  <c r="X68" i="18"/>
  <c r="W67" i="18"/>
  <c r="X67" i="18"/>
  <c r="W31" i="18"/>
  <c r="X31" i="18"/>
  <c r="X29" i="18"/>
  <c r="W30" i="18"/>
  <c r="X30" i="18"/>
  <c r="W28" i="18"/>
  <c r="S173" i="18"/>
  <c r="R182" i="18" s="1"/>
  <c r="G302" i="20"/>
  <c r="K303" i="20"/>
  <c r="I303" i="20"/>
  <c r="J303" i="20"/>
  <c r="X27" i="18"/>
  <c r="X111" i="18"/>
  <c r="W111" i="18"/>
  <c r="W110" i="18"/>
  <c r="X110" i="18"/>
  <c r="X26" i="18"/>
  <c r="W66" i="18"/>
  <c r="X66" i="18"/>
  <c r="X108" i="18"/>
  <c r="W109" i="18"/>
  <c r="X109" i="18"/>
  <c r="X106" i="18"/>
  <c r="W107" i="18"/>
  <c r="X107" i="18"/>
  <c r="X105" i="18"/>
  <c r="W25" i="18"/>
  <c r="X25" i="18"/>
  <c r="X24" i="18"/>
  <c r="W65" i="18"/>
  <c r="X65" i="18"/>
  <c r="W23" i="18"/>
  <c r="W64" i="18"/>
  <c r="X64" i="18"/>
  <c r="W63" i="18"/>
  <c r="X63" i="18"/>
  <c r="S172" i="18"/>
  <c r="N41" i="18" s="1"/>
  <c r="S171" i="18"/>
  <c r="R181" i="18" s="1"/>
  <c r="W104" i="18"/>
  <c r="X104" i="18"/>
  <c r="X62" i="18"/>
  <c r="W62" i="18"/>
  <c r="W102" i="18"/>
  <c r="X102" i="18"/>
  <c r="W96" i="18"/>
  <c r="X96" i="18"/>
  <c r="W100" i="18"/>
  <c r="X100" i="18"/>
  <c r="W22" i="18"/>
  <c r="X22" i="18"/>
  <c r="W20" i="18"/>
  <c r="X20" i="18"/>
  <c r="W98" i="18"/>
  <c r="X98" i="18"/>
  <c r="X103" i="18"/>
  <c r="W103" i="18"/>
  <c r="W95" i="18"/>
  <c r="X95" i="18"/>
  <c r="W94" i="18"/>
  <c r="X94" i="18"/>
  <c r="W99" i="18"/>
  <c r="X99" i="18"/>
  <c r="W97" i="18"/>
  <c r="X97" i="18"/>
  <c r="W101" i="18"/>
  <c r="X101" i="18"/>
  <c r="W21" i="18"/>
  <c r="X21" i="18"/>
  <c r="AL71" i="18"/>
  <c r="AM72" i="18"/>
  <c r="U171" i="18" l="1"/>
  <c r="U173" i="18"/>
  <c r="V173" i="18" s="1"/>
  <c r="L21" i="18"/>
  <c r="U172" i="18"/>
  <c r="V172" i="18" s="1"/>
  <c r="N73"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13"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2" i="18"/>
  <c r="W112" i="18" s="1"/>
  <c r="J266" i="20"/>
  <c r="G265" i="20"/>
  <c r="K266" i="20"/>
  <c r="I266" i="20"/>
  <c r="AL34" i="18"/>
  <c r="AM35" i="18"/>
  <c r="E240" i="15"/>
  <c r="E239" i="15"/>
  <c r="X112" i="18" l="1"/>
  <c r="G29" i="14"/>
  <c r="E28" i="14"/>
  <c r="K265" i="20"/>
  <c r="G264" i="20"/>
  <c r="J265" i="20"/>
  <c r="I265" i="20"/>
  <c r="D259" i="15"/>
  <c r="F259" i="15" s="1"/>
  <c r="AL33" i="18"/>
  <c r="AM34" i="18"/>
  <c r="E27" i="14" l="1"/>
  <c r="G28" i="14"/>
  <c r="G263" i="20"/>
  <c r="K264" i="20"/>
  <c r="J264" i="20"/>
  <c r="I264" i="20"/>
  <c r="D258" i="15"/>
  <c r="F258" i="15" s="1"/>
  <c r="AL32" i="18"/>
  <c r="AM33" i="18"/>
  <c r="S114" i="18" l="1"/>
  <c r="S115" i="18" s="1"/>
  <c r="S116" i="18" s="1"/>
  <c r="S117" i="18" s="1"/>
  <c r="S118" i="18" s="1"/>
  <c r="E26" i="14"/>
  <c r="G27" i="14"/>
  <c r="I263" i="20"/>
  <c r="K263" i="20"/>
  <c r="G262" i="20"/>
  <c r="J263" i="20"/>
  <c r="D257" i="15"/>
  <c r="F257" i="15" s="1"/>
  <c r="AL31" i="18"/>
  <c r="AM32" i="18"/>
  <c r="K61" i="32"/>
  <c r="U61" i="32" s="1"/>
  <c r="K60" i="32"/>
  <c r="U60" i="32" s="1"/>
  <c r="K49" i="32"/>
  <c r="U49" i="32" s="1"/>
  <c r="K48" i="32"/>
  <c r="U48" i="32" s="1"/>
  <c r="K46" i="32"/>
  <c r="I60" i="32"/>
  <c r="I48" i="32"/>
  <c r="S70" i="32"/>
  <c r="V117" i="18" l="1"/>
  <c r="W117" i="18" s="1"/>
  <c r="V113" i="18"/>
  <c r="X113" i="18" s="1"/>
  <c r="E25" i="14"/>
  <c r="G26" i="14"/>
  <c r="G261" i="20"/>
  <c r="I262" i="20"/>
  <c r="J262" i="20"/>
  <c r="K262" i="20"/>
  <c r="D256" i="15"/>
  <c r="F256" i="15" s="1"/>
  <c r="AL30" i="18"/>
  <c r="AM31" i="18"/>
  <c r="L60" i="32"/>
  <c r="L48" i="32"/>
  <c r="X117" i="18" l="1"/>
  <c r="S119" i="18"/>
  <c r="W113" i="18"/>
  <c r="E24" i="14"/>
  <c r="G25" i="14"/>
  <c r="J261" i="20"/>
  <c r="I261" i="20"/>
  <c r="K261" i="20"/>
  <c r="G260" i="20"/>
  <c r="D255" i="15"/>
  <c r="F255" i="15" s="1"/>
  <c r="AL29" i="18"/>
  <c r="AM30" i="18"/>
  <c r="V118" i="18" l="1"/>
  <c r="X118"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18"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19" i="18" l="1"/>
  <c r="W119" i="18" s="1"/>
  <c r="S120" i="18"/>
  <c r="V114" i="18"/>
  <c r="W114"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20" i="18" l="1"/>
  <c r="W120" i="18" s="1"/>
  <c r="S121" i="18"/>
  <c r="X119" i="18"/>
  <c r="X114"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1" i="18" l="1"/>
  <c r="W121" i="18" s="1"/>
  <c r="S122" i="18"/>
  <c r="X120" i="18"/>
  <c r="G255" i="20"/>
  <c r="I256" i="20"/>
  <c r="J256" i="20"/>
  <c r="K256" i="20"/>
  <c r="D250" i="15"/>
  <c r="F250" i="15" s="1"/>
  <c r="AL24" i="18"/>
  <c r="AM25" i="18"/>
  <c r="E178" i="13"/>
  <c r="G179" i="13"/>
  <c r="X121" i="18" l="1"/>
  <c r="V122" i="18"/>
  <c r="W122" i="18" s="1"/>
  <c r="S123" i="18"/>
  <c r="S124" i="18" s="1"/>
  <c r="V115" i="18"/>
  <c r="X115" i="18" s="1"/>
  <c r="G254" i="20"/>
  <c r="J255" i="20"/>
  <c r="I255" i="20"/>
  <c r="K255" i="20"/>
  <c r="D249" i="15"/>
  <c r="F249" i="15" s="1"/>
  <c r="AM24" i="18"/>
  <c r="AL23" i="18"/>
  <c r="E177" i="13"/>
  <c r="G178" i="13"/>
  <c r="V123" i="18" l="1"/>
  <c r="X123" i="18" s="1"/>
  <c r="X122" i="18"/>
  <c r="W115" i="18"/>
  <c r="K254" i="20"/>
  <c r="I254" i="20"/>
  <c r="G253" i="20"/>
  <c r="J254" i="20"/>
  <c r="D248" i="15"/>
  <c r="AM23" i="18"/>
  <c r="AL22" i="18"/>
  <c r="E176" i="13"/>
  <c r="G177" i="13"/>
  <c r="D165" i="20"/>
  <c r="W123" i="18" l="1"/>
  <c r="G252" i="20"/>
  <c r="J253" i="20"/>
  <c r="K253" i="20"/>
  <c r="I253" i="20"/>
  <c r="D247" i="15"/>
  <c r="F248" i="15"/>
  <c r="AL21" i="18"/>
  <c r="AL20" i="18" s="1"/>
  <c r="AM22" i="18"/>
  <c r="E175" i="13"/>
  <c r="G176" i="13"/>
  <c r="D164" i="20"/>
  <c r="V124" i="18" l="1"/>
  <c r="W124" i="18" s="1"/>
  <c r="S125"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24" i="18"/>
  <c r="V125" i="18"/>
  <c r="W125" i="18" s="1"/>
  <c r="S126"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16"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29" i="18"/>
  <c r="G250" i="20"/>
  <c r="I251" i="20"/>
  <c r="J251" i="20"/>
  <c r="K251" i="20"/>
  <c r="F246" i="15"/>
  <c r="D245" i="15"/>
  <c r="E173" i="13"/>
  <c r="G174" i="13"/>
  <c r="V126" i="18" l="1"/>
  <c r="W126" i="18" s="1"/>
  <c r="S127" i="18"/>
  <c r="S128" i="18" s="1"/>
  <c r="X125" i="18"/>
  <c r="X116" i="18"/>
  <c r="W116" i="18"/>
  <c r="U2123" i="41"/>
  <c r="V2123" i="41" s="1"/>
  <c r="X2123" i="41" s="1"/>
  <c r="G249" i="20"/>
  <c r="J250" i="20"/>
  <c r="K250" i="20"/>
  <c r="I250" i="20"/>
  <c r="F245" i="15"/>
  <c r="D244" i="15"/>
  <c r="AN229" i="18"/>
  <c r="AJ234" i="18" s="1"/>
  <c r="E172" i="13"/>
  <c r="G173" i="13"/>
  <c r="D62" i="38"/>
  <c r="V127" i="18" l="1"/>
  <c r="X127" i="18" s="1"/>
  <c r="X126" i="18"/>
  <c r="AJ238" i="18"/>
  <c r="J249" i="20"/>
  <c r="I249" i="20"/>
  <c r="K249" i="20"/>
  <c r="G248" i="20"/>
  <c r="F244" i="15"/>
  <c r="D243" i="15"/>
  <c r="AJ237" i="18"/>
  <c r="E171" i="13"/>
  <c r="G172" i="13"/>
  <c r="W127"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29" i="18" l="1"/>
  <c r="S130"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28" i="18" l="1"/>
  <c r="W128"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28"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31" i="18" l="1"/>
  <c r="V129" i="18"/>
  <c r="G189" i="20"/>
  <c r="K190" i="20"/>
  <c r="I190" i="20"/>
  <c r="J190" i="20"/>
  <c r="S132" i="18" l="1"/>
  <c r="X129" i="18"/>
  <c r="W129"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30" i="18" l="1"/>
  <c r="G186" i="20"/>
  <c r="K187" i="20"/>
  <c r="J187" i="20"/>
  <c r="I187" i="20"/>
  <c r="D141" i="20"/>
  <c r="W130" i="18" l="1"/>
  <c r="X130" i="18"/>
  <c r="G185" i="20"/>
  <c r="I186" i="20"/>
  <c r="J186" i="20"/>
  <c r="K186" i="20"/>
  <c r="F2" i="16"/>
  <c r="G2" i="16" s="1"/>
  <c r="G85" i="16" s="1"/>
  <c r="G184" i="20" l="1"/>
  <c r="I185" i="20"/>
  <c r="J185" i="20"/>
  <c r="K185" i="20"/>
  <c r="F185" i="15"/>
  <c r="D140" i="20"/>
  <c r="S133" i="18" l="1"/>
  <c r="V131"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31" i="18" l="1"/>
  <c r="X131" i="18"/>
  <c r="I183" i="20"/>
  <c r="G182" i="20"/>
  <c r="K183" i="20"/>
  <c r="J183" i="20"/>
  <c r="F183" i="15"/>
  <c r="G43" i="10"/>
  <c r="K182" i="20" l="1"/>
  <c r="I182" i="20"/>
  <c r="J182" i="20"/>
  <c r="G181" i="20"/>
  <c r="D138" i="20"/>
  <c r="V132" i="18" l="1"/>
  <c r="G180" i="20"/>
  <c r="I181" i="20"/>
  <c r="K181" i="20"/>
  <c r="J181" i="20"/>
  <c r="G42" i="10"/>
  <c r="W132" i="18" l="1"/>
  <c r="X132" i="18"/>
  <c r="I180" i="20"/>
  <c r="G179" i="20"/>
  <c r="J180" i="20"/>
  <c r="K180" i="20"/>
  <c r="E167" i="15"/>
  <c r="E168" i="15"/>
  <c r="E169" i="15"/>
  <c r="E170" i="15"/>
  <c r="E171" i="15"/>
  <c r="E172" i="15"/>
  <c r="E173" i="15"/>
  <c r="E174" i="15"/>
  <c r="E175" i="15"/>
  <c r="E176" i="15"/>
  <c r="E177" i="15"/>
  <c r="E178" i="15"/>
  <c r="E179" i="15"/>
  <c r="E180" i="15"/>
  <c r="E181" i="15"/>
  <c r="E182" i="15"/>
  <c r="S134"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33" i="18" l="1"/>
  <c r="X133" i="18" s="1"/>
  <c r="J176" i="20"/>
  <c r="G175" i="20"/>
  <c r="I176" i="20"/>
  <c r="K176" i="20"/>
  <c r="D135" i="20"/>
  <c r="D134" i="20"/>
  <c r="W133"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34" i="18" l="1"/>
  <c r="X134" i="18" s="1"/>
  <c r="S135" i="18"/>
  <c r="S136" i="18" s="1"/>
  <c r="S137" i="18" s="1"/>
  <c r="G170" i="20"/>
  <c r="K171" i="20"/>
  <c r="I171" i="20"/>
  <c r="J171" i="20"/>
  <c r="F166" i="15"/>
  <c r="F165" i="15"/>
  <c r="F164" i="15"/>
  <c r="F163" i="15"/>
  <c r="F162" i="15"/>
  <c r="F161" i="15"/>
  <c r="F160" i="15"/>
  <c r="F159" i="15"/>
  <c r="F158" i="15"/>
  <c r="S138" i="18" l="1"/>
  <c r="S139" i="18" s="1"/>
  <c r="W134" i="18"/>
  <c r="V135" i="18"/>
  <c r="I170" i="20"/>
  <c r="G169" i="20"/>
  <c r="J170" i="20"/>
  <c r="K170" i="20"/>
  <c r="D132" i="20"/>
  <c r="D131" i="20"/>
  <c r="V138" i="18" l="1"/>
  <c r="V136" i="18"/>
  <c r="W135" i="18"/>
  <c r="X135" i="18"/>
  <c r="I169" i="20"/>
  <c r="K169" i="20"/>
  <c r="J169" i="20"/>
  <c r="G168" i="20"/>
  <c r="E3" i="18"/>
  <c r="D4" i="18"/>
  <c r="E100" i="18"/>
  <c r="N6" i="18" s="1"/>
  <c r="N10" i="18" s="1"/>
  <c r="S140" i="18" l="1"/>
  <c r="V139" i="18"/>
  <c r="W138" i="18"/>
  <c r="X138" i="18"/>
  <c r="W136" i="18"/>
  <c r="X136" i="18"/>
  <c r="J168" i="20"/>
  <c r="K168" i="20"/>
  <c r="I168" i="20"/>
  <c r="G167" i="20"/>
  <c r="N11" i="18"/>
  <c r="G38" i="10"/>
  <c r="D129" i="20"/>
  <c r="V140" i="18" l="1"/>
  <c r="X140" i="18" s="1"/>
  <c r="S141" i="18"/>
  <c r="S142" i="18" s="1"/>
  <c r="W139" i="18"/>
  <c r="X139"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W140" i="18" l="1"/>
  <c r="V141" i="18"/>
  <c r="W141" i="18" s="1"/>
  <c r="V137" i="18"/>
  <c r="K166" i="20"/>
  <c r="I166" i="20"/>
  <c r="G165" i="20"/>
  <c r="J166" i="20"/>
  <c r="D127" i="20"/>
  <c r="X141" i="18" l="1"/>
  <c r="S143" i="18"/>
  <c r="S144" i="18" s="1"/>
  <c r="S145" i="18" s="1"/>
  <c r="S146" i="18" s="1"/>
  <c r="W137" i="18"/>
  <c r="X137" i="18"/>
  <c r="G164" i="20"/>
  <c r="I165" i="20"/>
  <c r="J165" i="20"/>
  <c r="K165" i="20"/>
  <c r="V145" i="18" l="1"/>
  <c r="X145" i="18" s="1"/>
  <c r="S147" i="18"/>
  <c r="S148" i="18" s="1"/>
  <c r="V142" i="18"/>
  <c r="G163" i="20"/>
  <c r="J164" i="20"/>
  <c r="K164" i="20"/>
  <c r="I164" i="20"/>
  <c r="D42" i="25"/>
  <c r="V147" i="18" l="1"/>
  <c r="V146" i="18"/>
  <c r="W145" i="18"/>
  <c r="V143" i="18"/>
  <c r="W142" i="18"/>
  <c r="X142"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W147" i="18" l="1"/>
  <c r="X147" i="18"/>
  <c r="W146" i="18"/>
  <c r="X146" i="18"/>
  <c r="W143" i="18"/>
  <c r="X143" i="18"/>
  <c r="K162" i="20"/>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V148" i="18" l="1"/>
  <c r="X148" i="18" s="1"/>
  <c r="S149" i="18"/>
  <c r="V144" i="18"/>
  <c r="G160" i="20"/>
  <c r="I161" i="20"/>
  <c r="J161" i="20"/>
  <c r="K161" i="20"/>
  <c r="D42" i="24"/>
  <c r="W148" i="18" l="1"/>
  <c r="V149" i="18"/>
  <c r="W149" i="18" s="1"/>
  <c r="S150" i="18"/>
  <c r="V150" i="18" s="1"/>
  <c r="X149" i="18"/>
  <c r="W144" i="18"/>
  <c r="X144" i="18"/>
  <c r="K160" i="20"/>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W150" i="18" l="1"/>
  <c r="X150" i="18"/>
  <c r="S151" i="18"/>
  <c r="Q78" i="10"/>
  <c r="K159" i="20"/>
  <c r="J159" i="20"/>
  <c r="I159" i="20"/>
  <c r="G158" i="20"/>
  <c r="G74" i="13"/>
  <c r="G73" i="13"/>
  <c r="G72" i="13"/>
  <c r="G71" i="13"/>
  <c r="G70" i="13"/>
  <c r="G69" i="13"/>
  <c r="G68" i="13"/>
  <c r="G67" i="13"/>
  <c r="G66" i="13"/>
  <c r="H124" i="20"/>
  <c r="S152" i="18" l="1"/>
  <c r="V151" i="18"/>
  <c r="G157" i="20"/>
  <c r="I158" i="20"/>
  <c r="K158" i="20"/>
  <c r="J158" i="20"/>
  <c r="G37" i="10"/>
  <c r="X151" i="18" l="1"/>
  <c r="W151" i="18"/>
  <c r="S153" i="18"/>
  <c r="V152" i="18"/>
  <c r="I157" i="20"/>
  <c r="K157" i="20"/>
  <c r="G156" i="20"/>
  <c r="J157" i="20"/>
  <c r="F64" i="13"/>
  <c r="F65" i="13"/>
  <c r="W152" i="18" l="1"/>
  <c r="X152" i="18"/>
  <c r="S154" i="18"/>
  <c r="V153" i="18"/>
  <c r="K156" i="20"/>
  <c r="J156" i="20"/>
  <c r="G155" i="20"/>
  <c r="I156" i="20"/>
  <c r="G65" i="13"/>
  <c r="G64" i="13"/>
  <c r="G36" i="10"/>
  <c r="V154" i="18" l="1"/>
  <c r="X154" i="18" s="1"/>
  <c r="S155" i="18"/>
  <c r="W153" i="18"/>
  <c r="X153" i="18"/>
  <c r="G154" i="20"/>
  <c r="J155" i="20"/>
  <c r="I155" i="20"/>
  <c r="K155" i="20"/>
  <c r="H123" i="20"/>
  <c r="W154" i="18" l="1"/>
  <c r="V155" i="18"/>
  <c r="W155" i="18" s="1"/>
  <c r="S156" i="18"/>
  <c r="X155" i="18"/>
  <c r="I154" i="20"/>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V156" i="18" l="1"/>
  <c r="W156" i="18" s="1"/>
  <c r="S157" i="18"/>
  <c r="K153" i="20"/>
  <c r="G152" i="20"/>
  <c r="J153" i="20"/>
  <c r="I153" i="20"/>
  <c r="H121" i="20"/>
  <c r="X156" i="18" l="1"/>
  <c r="S158" i="18"/>
  <c r="V157" i="18"/>
  <c r="G151" i="20"/>
  <c r="I152" i="20"/>
  <c r="J152" i="20"/>
  <c r="K152" i="20"/>
  <c r="V158" i="18" l="1"/>
  <c r="S159" i="18"/>
  <c r="V159" i="18" s="1"/>
  <c r="W158" i="18"/>
  <c r="X158" i="18"/>
  <c r="W157" i="18"/>
  <c r="X157" i="18"/>
  <c r="I151" i="20"/>
  <c r="J151" i="20"/>
  <c r="G150" i="20"/>
  <c r="K151" i="20"/>
  <c r="E136" i="15"/>
  <c r="E137" i="15"/>
  <c r="E138" i="15"/>
  <c r="F138" i="15" s="1"/>
  <c r="E139" i="15"/>
  <c r="F139" i="15" s="1"/>
  <c r="E140" i="15"/>
  <c r="F140" i="15" s="1"/>
  <c r="E141" i="15"/>
  <c r="F141" i="15" s="1"/>
  <c r="E142" i="15"/>
  <c r="F142" i="15" s="1"/>
  <c r="F143" i="15"/>
  <c r="W159" i="18" l="1"/>
  <c r="X159" i="18"/>
  <c r="G149" i="20"/>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76"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77"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77" i="18" s="1"/>
  <c r="F24" i="18" l="1"/>
  <c r="G113" i="20"/>
  <c r="J114" i="20"/>
  <c r="I114" i="20"/>
  <c r="K114" i="20"/>
  <c r="L78" i="18"/>
  <c r="E33" i="13"/>
  <c r="G34" i="13"/>
  <c r="F108" i="15"/>
  <c r="C20" i="18"/>
  <c r="G20" i="14"/>
  <c r="G21" i="14"/>
  <c r="G112" i="20" l="1"/>
  <c r="K113" i="20"/>
  <c r="J113" i="20"/>
  <c r="I113" i="20"/>
  <c r="L79"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92" i="15"/>
  <c r="F395" i="15" s="1"/>
  <c r="G6" i="20" l="1"/>
  <c r="J7" i="20"/>
  <c r="K7" i="20"/>
  <c r="I7" i="20"/>
  <c r="V171"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<sst xmlns="http://schemas.openxmlformats.org/spreadsheetml/2006/main" count="13415" uniqueCount="5570">
  <si>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</si>
  <si>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</si>
  <si>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</si>
  <si>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</si>
  <si>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</si>
  <si>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</si>
  <si>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</si>
  <si>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</si>
  <si>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</si>
  <si>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</si>
  <si>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</si>
  <si>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</si>
  <si>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</si>
  <si>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</si>
  <si>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</si>
  <si>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</si>
  <si>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</si>
  <si>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</si>
  <si>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</si>
  <si>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</si>
  <si>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</si>
  <si>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</si>
  <si>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</si>
  <si>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</si>
  <si>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</si>
  <si>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</si>
  <si>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</si>
  <si>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</si>
  <si>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</si>
  <si>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</si>
  <si>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</si>
  <si>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</si>
  <si>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</si>
  <si>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</si>
  <si>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</si>
  <si>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</si>
  <si>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</si>
  <si>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</si>
  <si>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</si>
  <si>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</si>
  <si>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</si>
  <si>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</si>
  <si>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</si>
  <si>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</si>
  <si>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</si>
  <si>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</si>
  <si>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</si>
  <si>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</si>
  <si>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</si>
  <si>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</si>
  <si>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</si>
  <si>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</si>
  <si>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</si>
  <si>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</si>
  <si>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</si>
  <si>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</si>
  <si>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</si>
  <si>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</si>
  <si>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</si>
  <si>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</si>
  <si>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</si>
  <si>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</si>
  <si>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</si>
  <si>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</si>
  <si>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</si>
  <si>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</si>
  <si>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</si>
  <si>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</si>
  <si>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</si>
  <si>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</si>
  <si>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</si>
  <si>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</si>
  <si>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</si>
  <si>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</si>
  <si>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</si>
  <si>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</si>
  <si>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</si>
  <si>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</si>
  <si>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</si>
  <si>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</si>
  <si>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</si>
  <si>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</si>
  <si>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</si>
  <si>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</si>
  <si>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</si>
  <si>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</si>
  <si>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</si>
  <si>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</si>
  <si>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</si>
  <si>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</si>
  <si>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</si>
  <si>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</si>
  <si>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</si>
  <si>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</si>
  <si>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</si>
  <si>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</si>
  <si>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</si>
  <si>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</si>
  <si>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</si>
  <si>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</si>
  <si>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</si>
  <si>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</si>
  <si>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</si>
  <si>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</si>
  <si>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</si>
  <si>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</si>
  <si>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</si>
  <si>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</si>
  <si>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</si>
  <si>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</si>
  <si>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</si>
  <si>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</si>
  <si>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</si>
  <si>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</si>
  <si>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</si>
  <si>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</si>
  <si>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</si>
  <si>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</si>
  <si>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</si>
  <si>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</si>
  <si>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</si>
  <si>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</si>
  <si>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</si>
  <si>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</si>
  <si>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</si>
  <si>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</si>
  <si>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</si>
  <si>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</si>
  <si>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</si>
  <si>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</si>
  <si>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</si>
  <si>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</si>
  <si>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</si>
  <si>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</si>
  <si>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</si>
  <si>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</si>
  <si>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</si>
  <si>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</si>
  <si>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</si>
  <si>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</si>
  <si>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</si>
  <si>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</si>
  <si>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</si>
  <si>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</si>
  <si>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</si>
  <si>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</si>
  <si>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</si>
  <si>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</si>
  <si>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</si>
  <si>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</si>
  <si>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</si>
  <si>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</si>
  <si>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</si>
  <si>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</si>
  <si>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</si>
  <si>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</si>
  <si>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</si>
  <si>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</si>
  <si>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</si>
  <si>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</si>
  <si>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</si>
  <si>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</si>
  <si>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</si>
  <si>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</si>
  <si>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</si>
  <si>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</si>
  <si>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</si>
  <si>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</si>
  <si>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</si>
  <si>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</si>
  <si>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</si>
  <si>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</si>
  <si>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</si>
  <si>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</si>
  <si>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</si>
  <si>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</si>
  <si>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</si>
  <si>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</si>
  <si>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</si>
  <si>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</si>
  <si>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</si>
  <si>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</si>
  <si>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</si>
  <si>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</si>
  <si>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</si>
  <si>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</si>
  <si>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</si>
  <si>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</si>
  <si>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</si>
  <si>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</si>
  <si>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</si>
  <si>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</si>
  <si>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</si>
  <si>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</si>
  <si>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</si>
  <si>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</si>
  <si>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</si>
  <si>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</si>
  <si>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</si>
  <si>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</si>
  <si>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</si>
  <si>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</si>
  <si>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</si>
  <si>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</si>
  <si>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</si>
  <si>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</si>
  <si>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</si>
  <si>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</si>
  <si>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</si>
  <si>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</si>
  <si>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</si>
  <si>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</si>
  <si>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</si>
  <si>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</si>
  <si>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</si>
  <si>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</si>
  <si>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</si>
  <si>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</si>
  <si>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</si>
  <si>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</si>
  <si>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</si>
  <si>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</si>
  <si>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</si>
  <si>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</si>
  <si>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</si>
  <si>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</si>
  <si>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</si>
  <si>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</si>
  <si>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</si>
  <si>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</si>
  <si>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</si>
  <si>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</si>
  <si>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</si>
  <si>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</si>
  <si>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</si>
  <si>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</si>
  <si>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</si>
  <si>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</si>
  <si>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</si>
  <si>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</si>
  <si>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</si>
  <si>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</si>
  <si>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</si>
  <si>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</si>
  <si>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</si>
  <si>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</si>
  <si>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</si>
  <si>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</si>
  <si>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</si>
  <si>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</si>
  <si>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</si>
  <si>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</si>
  <si>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</si>
  <si>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</si>
  <si>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</si>
  <si>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</si>
  <si>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</si>
  <si>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</si>
  <si>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</si>
  <si>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</si>
  <si>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</si>
  <si>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</si>
  <si>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</si>
  <si>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</si>
  <si>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</si>
  <si>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</si>
  <si>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</si>
  <si>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</si>
  <si>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</si>
  <si>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</si>
  <si>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</si>
  <si>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</si>
  <si>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</si>
  <si>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</si>
  <si>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</si>
  <si>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</si>
  <si>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</si>
  <si>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</si>
  <si>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</si>
  <si>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</si>
  <si>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</si>
  <si>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</si>
  <si>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</si>
  <si>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</si>
  <si>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</si>
  <si>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</si>
  <si>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</si>
  <si>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</si>
  <si>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</si>
  <si>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</si>
  <si>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</si>
  <si>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</si>
  <si>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</si>
  <si>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</si>
  <si>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</si>
  <si>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</si>
  <si>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</si>
  <si>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</si>
  <si>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</si>
  <si>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</si>
  <si>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</si>
  <si>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</si>
  <si>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</si>
  <si>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</si>
  <si>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</si>
  <si>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</si>
  <si>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</si>
  <si>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</si>
  <si>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</si>
  <si>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</si>
  <si>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</si>
  <si>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</si>
  <si>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</si>
  <si>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</si>
  <si>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</si>
  <si>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</si>
  <si>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</si>
  <si>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</si>
  <si>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</si>
  <si>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</si>
  <si>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</si>
  <si>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</si>
  <si>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</si>
  <si>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</si>
  <si>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</si>
  <si>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</si>
  <si>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</si>
  <si>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</si>
  <si>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</si>
  <si>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</si>
  <si>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</si>
  <si>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</si>
  <si>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</si>
  <si>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</si>
  <si>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</si>
  <si>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</si>
  <si>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</si>
  <si>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</si>
  <si>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</si>
  <si>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</si>
  <si>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</si>
  <si>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</si>
  <si>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</si>
  <si>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</si>
  <si>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</si>
  <si>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</si>
  <si>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</si>
  <si>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</si>
  <si>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</si>
  <si>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</si>
  <si>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</si>
  <si>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</si>
  <si>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</si>
  <si>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</si>
  <si>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</si>
  <si>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</si>
  <si>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</si>
  <si>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</si>
  <si>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</si>
  <si>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</si>
  <si>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</si>
  <si>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</si>
  <si>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</si>
  <si>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</si>
  <si>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</si>
  <si>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</si>
  <si>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</si>
  <si>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</si>
  <si>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</si>
  <si>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</si>
  <si>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</si>
  <si>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</si>
  <si>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</si>
  <si>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</si>
  <si>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</si>
  <si>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</si>
  <si>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</si>
  <si>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</si>
  <si>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</si>
  <si>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</si>
  <si>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</si>
  <si>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</si>
  <si>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</si>
  <si>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</si>
  <si>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</si>
  <si>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</si>
  <si>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</si>
  <si>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</si>
  <si>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</si>
  <si>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</si>
  <si>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</si>
  <si>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</si>
  <si>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</si>
  <si>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</si>
  <si>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</si>
  <si>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</si>
  <si>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</si>
  <si>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</si>
  <si>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</si>
  <si>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</si>
  <si>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</si>
  <si>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</si>
  <si>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</si>
  <si>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</si>
  <si>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</si>
  <si>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</si>
  <si>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</si>
  <si>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</si>
  <si>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</si>
  <si>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</si>
  <si>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</si>
  <si>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</si>
  <si>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</si>
  <si>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</si>
  <si>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</si>
  <si>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</si>
  <si>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</si>
  <si>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</si>
  <si>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</si>
  <si>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</si>
  <si>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</si>
  <si>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</si>
  <si>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</si>
  <si>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</si>
  <si>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</si>
  <si>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</si>
  <si>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</si>
  <si>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</si>
  <si>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</si>
  <si>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</si>
  <si>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</si>
  <si>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</si>
  <si>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</si>
  <si>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</si>
  <si>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</si>
  <si>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</si>
  <si>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</si>
  <si>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</si>
  <si>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</si>
  <si>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</si>
  <si>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</si>
  <si>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</si>
  <si>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</si>
  <si>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</si>
  <si>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</si>
  <si>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</si>
  <si>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</si>
  <si>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</si>
  <si>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</si>
  <si>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</si>
  <si>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</si>
  <si>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</si>
  <si>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</si>
  <si>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</si>
  <si>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</si>
  <si>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</si>
  <si>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</si>
  <si>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</si>
  <si>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</si>
  <si>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</si>
  <si>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</si>
  <si>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</si>
  <si>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</si>
  <si>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</si>
  <si>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</si>
  <si>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</si>
  <si>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</si>
  <si>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</si>
  <si>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</si>
  <si>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</si>
  <si>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</si>
  <si>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</si>
  <si>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</si>
  <si>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</si>
  <si>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</si>
  <si>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</si>
  <si>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</si>
  <si>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</si>
  <si>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</si>
  <si>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</si>
  <si>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</si>
  <si>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</si>
  <si>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</si>
  <si>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</si>
  <si>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</si>
  <si>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</si>
  <si>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</si>
  <si>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</si>
  <si>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</si>
  <si>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</si>
  <si>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</si>
  <si>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</si>
  <si>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</si>
  <si>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</si>
  <si>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</si>
  <si>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</si>
  <si>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</si>
  <si>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</si>
  <si>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</si>
  <si>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</si>
  <si>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</si>
  <si>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</si>
  <si>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</si>
  <si>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</si>
  <si>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</si>
  <si>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</si>
  <si>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</si>
  <si>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</si>
  <si>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</si>
  <si>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</si>
  <si>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</si>
  <si>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</si>
  <si>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</si>
  <si>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</si>
  <si>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</si>
  <si>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</si>
  <si>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</si>
  <si>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</si>
  <si>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</si>
  <si>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</si>
  <si>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</si>
  <si>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</si>
  <si>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</si>
  <si>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</si>
  <si>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</si>
  <si>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</si>
  <si>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</si>
  <si>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</si>
  <si>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</si>
  <si>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</si>
  <si>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</si>
  <si>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</si>
  <si>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</si>
  <si>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</si>
  <si>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</si>
  <si>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</si>
  <si>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</si>
  <si>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</si>
  <si>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</si>
  <si>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</si>
  <si>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</si>
  <si>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</si>
  <si>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</si>
  <si>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</si>
  <si>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</si>
  <si>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</si>
  <si>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</si>
  <si>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</si>
  <si>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</si>
  <si>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</si>
  <si>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</si>
  <si>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</si>
  <si>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</si>
  <si>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</si>
  <si>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</si>
  <si>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</si>
  <si>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</si>
  <si>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</si>
  <si>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</si>
  <si>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</si>
  <si>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</si>
  <si>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</si>
  <si>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</si>
  <si>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</si>
  <si>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</si>
  <si>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</si>
  <si>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</si>
  <si>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</si>
  <si>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</si>
  <si>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</si>
  <si>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</si>
  <si>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</si>
  <si>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</si>
  <si>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</si>
  <si>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</si>
  <si>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</si>
  <si>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</si>
  <si>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</si>
  <si>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</si>
  <si>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</si>
  <si>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</si>
  <si>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</si>
  <si>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</si>
  <si>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</si>
  <si>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</si>
  <si>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</si>
  <si>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</si>
  <si>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</si>
  <si>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</si>
  <si>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</si>
  <si>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</si>
  <si>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</si>
  <si>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</si>
  <si>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</si>
  <si>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</si>
  <si>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</si>
  <si>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</si>
  <si>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</si>
  <si>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</si>
  <si>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</si>
  <si>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</si>
  <si>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</si>
  <si>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</si>
  <si>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</si>
  <si>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</si>
  <si>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</si>
  <si>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</si>
  <si>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</si>
  <si>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</si>
  <si>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</si>
  <si>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</si>
  <si>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</si>
  <si>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</si>
  <si>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</si>
  <si>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</si>
  <si>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</si>
  <si>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</si>
  <si>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</si>
  <si>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</si>
  <si>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</si>
  <si>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</si>
  <si>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</si>
  <si>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</si>
  <si>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</si>
  <si>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</si>
  <si>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</si>
  <si>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</si>
  <si>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</si>
  <si>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</si>
  <si>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</si>
  <si>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</si>
  <si>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</si>
  <si>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</si>
  <si>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</si>
  <si>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</si>
  <si>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</si>
  <si>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</si>
  <si>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</si>
  <si>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</si>
  <si>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</si>
  <si>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</si>
  <si>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</si>
  <si>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</si>
  <si>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</si>
  <si>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</si>
  <si>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</si>
  <si>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</si>
  <si>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</si>
  <si>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</si>
  <si>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</si>
  <si>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</si>
  <si>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</si>
  <si>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</si>
  <si>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</si>
  <si>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</si>
  <si>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</si>
  <si>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</si>
  <si>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</si>
  <si>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</si>
  <si>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</si>
  <si>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</si>
  <si>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</si>
  <si>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</si>
  <si>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</si>
  <si>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</si>
  <si>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</si>
  <si>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</si>
  <si>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</si>
  <si>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</si>
  <si>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</si>
  <si>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</si>
  <si>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</si>
  <si>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</si>
  <si>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</si>
  <si>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</si>
  <si>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</si>
  <si>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</si>
  <si>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</si>
  <si>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</si>
  <si>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</si>
  <si>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</si>
  <si>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</si>
  <si>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</si>
  <si>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</si>
  <si>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</si>
  <si>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</si>
  <si>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</si>
  <si>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</si>
  <si>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</si>
  <si>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</si>
  <si>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</si>
  <si>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</si>
  <si>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</si>
  <si>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</si>
  <si>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</si>
  <si>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</si>
  <si>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</si>
  <si>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</si>
  <si>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</si>
  <si>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</si>
  <si>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</si>
  <si>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</si>
  <si>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</si>
  <si>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</si>
  <si>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</si>
  <si>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</si>
  <si>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</si>
  <si>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</si>
  <si>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</si>
  <si>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</si>
  <si>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</si>
  <si>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</si>
  <si>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</si>
  <si>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</si>
  <si>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</si>
  <si>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</si>
  <si>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</si>
  <si>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</si>
  <si>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</si>
  <si>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</si>
  <si>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</si>
  <si>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</si>
  <si>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</si>
  <si>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</si>
  <si>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</si>
  <si>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</si>
  <si>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</si>
  <si>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</si>
  <si>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</si>
  <si>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</si>
  <si>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</si>
  <si>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</si>
  <si>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</si>
  <si>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</si>
  <si>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</si>
  <si>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</si>
  <si>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</si>
  <si>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</si>
  <si>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</si>
  <si>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</si>
  <si>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</si>
  <si>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</si>
  <si>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</si>
  <si>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</si>
  <si>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</si>
  <si>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</si>
  <si>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</si>
  <si>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</si>
  <si>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</si>
  <si>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</si>
  <si>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</si>
  <si>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</si>
  <si>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</si>
  <si>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</si>
  <si>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</si>
  <si>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</si>
  <si>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</si>
  <si>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</si>
  <si>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</si>
  <si>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</si>
  <si>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</si>
  <si>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</si>
  <si>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</si>
  <si>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</si>
  <si>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</si>
  <si>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</si>
  <si>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</si>
  <si>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</si>
  <si>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</si>
  <si>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</si>
  <si>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</si>
  <si>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</si>
  <si>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</si>
  <si>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</si>
  <si>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</si>
  <si>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</si>
  <si>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</si>
  <si>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</si>
  <si>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</si>
  <si>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</si>
  <si>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</si>
  <si>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</si>
  <si>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</si>
  <si>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</si>
  <si>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</si>
  <si>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</si>
  <si>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</si>
  <si>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</si>
  <si>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</si>
  <si>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</si>
  <si>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</si>
  <si>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</si>
  <si>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</si>
  <si>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</si>
  <si>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</si>
  <si>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</si>
  <si>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</si>
  <si>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</si>
  <si>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</si>
  <si>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</si>
  <si>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</si>
  <si>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</si>
  <si>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</si>
  <si>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</si>
  <si>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</si>
  <si>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</si>
  <si>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</si>
  <si>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</si>
  <si>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</si>
  <si>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</si>
  <si>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</si>
  <si>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</si>
  <si>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</si>
  <si>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</si>
  <si>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</si>
  <si>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</si>
  <si>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</si>
  <si>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</si>
  <si>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</si>
  <si>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</si>
  <si>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</si>
  <si>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</si>
  <si>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</si>
  <si>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</si>
  <si>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</si>
  <si>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</si>
  <si>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</si>
  <si>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</si>
  <si>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</si>
  <si>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</si>
  <si>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</si>
  <si>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</si>
  <si>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</si>
  <si>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</si>
  <si>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</si>
  <si>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</si>
  <si>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</si>
  <si>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</si>
  <si>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</si>
  <si>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</si>
  <si>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</si>
  <si>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</si>
  <si>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</si>
  <si>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</si>
  <si>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</si>
  <si>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</si>
  <si>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</si>
  <si>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</si>
  <si>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</si>
  <si>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</si>
  <si>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</si>
  <si>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</si>
  <si>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</si>
  <si>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</si>
  <si>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</si>
  <si>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</si>
  <si>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</si>
  <si>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</si>
  <si>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</si>
  <si>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</si>
  <si>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</si>
  <si>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</si>
  <si>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</si>
  <si>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</si>
  <si>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</si>
  <si>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</si>
  <si>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</si>
  <si>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</si>
  <si>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</si>
  <si>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</si>
  <si>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</si>
  <si>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</si>
  <si>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</si>
  <si>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</si>
  <si>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</si>
  <si>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</si>
  <si>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</si>
  <si>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</si>
  <si>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</si>
  <si>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</si>
  <si>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</si>
  <si>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</si>
  <si>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</si>
  <si>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</si>
  <si>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</si>
  <si>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</si>
  <si>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</si>
  <si>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</si>
  <si>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</si>
  <si>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</si>
  <si>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</si>
  <si>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</si>
  <si>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</si>
  <si>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</si>
  <si>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</si>
  <si>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</si>
  <si>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</si>
  <si>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</si>
  <si>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</si>
  <si>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</si>
  <si>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</si>
  <si>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</si>
  <si>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</si>
  <si>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</si>
  <si>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</si>
  <si>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</si>
  <si>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</si>
  <si>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</si>
  <si>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</si>
  <si>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</si>
  <si>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</si>
  <si>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</si>
  <si>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</si>
  <si>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</si>
  <si>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</si>
  <si>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</si>
  <si>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</si>
  <si>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</si>
  <si>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</si>
  <si>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</si>
  <si>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</si>
  <si>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</si>
  <si>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</si>
  <si>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</si>
  <si>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</si>
  <si>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</si>
  <si>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</si>
  <si>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</si>
  <si>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</si>
  <si>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</si>
  <si>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</si>
  <si>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</si>
  <si>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</si>
  <si>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</si>
  <si>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</si>
  <si>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</si>
  <si>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</si>
  <si>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</si>
  <si>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</si>
  <si>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</si>
  <si>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</si>
  <si>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</si>
  <si>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</si>
  <si>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</si>
  <si>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</si>
  <si>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</si>
  <si>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</si>
  <si>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</si>
  <si>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</si>
  <si>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</si>
  <si>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</si>
  <si>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</si>
  <si>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</si>
  <si>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</si>
  <si>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</si>
  <si>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</si>
  <si>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</si>
  <si>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</si>
  <si>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</si>
  <si>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</si>
  <si>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</si>
  <si>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</si>
  <si>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</si>
  <si>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</si>
  <si>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</si>
  <si>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</si>
  <si>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</si>
  <si>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</si>
  <si>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</si>
  <si>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</si>
  <si>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</si>
  <si>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</si>
  <si>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</si>
  <si>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</si>
  <si>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</si>
  <si>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</si>
  <si>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</si>
  <si>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</si>
  <si>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</si>
  <si>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</si>
  <si>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</si>
  <si>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</si>
  <si>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</si>
  <si>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</si>
  <si>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</si>
  <si>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</si>
  <si>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</si>
  <si>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</si>
  <si>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</si>
  <si>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</si>
  <si>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</si>
  <si>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</si>
  <si>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</si>
  <si>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</si>
  <si>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</si>
  <si>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</si>
  <si>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</si>
  <si>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</si>
  <si>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</si>
  <si>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</si>
  <si>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</si>
  <si>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</si>
  <si>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</si>
  <si>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</si>
  <si>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</si>
  <si>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</si>
  <si>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</si>
  <si>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</si>
  <si>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</si>
  <si>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</si>
  <si>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</si>
  <si>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</si>
  <si>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</si>
  <si>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</si>
  <si>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</si>
  <si>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</si>
  <si>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</si>
  <si>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</si>
  <si>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</si>
  <si>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</si>
  <si>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</si>
  <si>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</si>
  <si>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</si>
  <si>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</si>
  <si>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</si>
  <si>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</si>
  <si>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</si>
  <si>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</si>
  <si>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</si>
  <si>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</si>
  <si>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</si>
  <si>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</si>
  <si>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</si>
  <si>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</si>
  <si>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</si>
  <si>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</si>
  <si>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</si>
  <si>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</si>
  <si>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</si>
  <si>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</si>
  <si>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</si>
  <si>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</si>
  <si>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</si>
  <si>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</si>
  <si>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</si>
  <si>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</si>
  <si>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</si>
  <si>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</si>
  <si>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</si>
  <si>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</si>
  <si>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</si>
  <si>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</si>
  <si>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</si>
  <si>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</si>
  <si>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</si>
  <si>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</si>
  <si>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</si>
  <si>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</si>
  <si>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</si>
  <si>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</si>
  <si>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</si>
  <si>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</si>
  <si>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</si>
  <si>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</si>
  <si>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</si>
  <si>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</si>
  <si>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</si>
  <si>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</si>
  <si>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</si>
  <si>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</si>
  <si>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</si>
  <si>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</si>
  <si>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</si>
  <si>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</si>
  <si>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</si>
  <si>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</si>
  <si>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</si>
  <si>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</si>
  <si>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</si>
  <si>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</si>
  <si>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</si>
  <si>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</si>
  <si>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</si>
  <si>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</si>
  <si>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</si>
  <si>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</si>
  <si>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</si>
  <si>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</si>
  <si>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</si>
  <si>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</si>
  <si>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</si>
  <si>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</si>
  <si>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</si>
  <si>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</si>
  <si>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</si>
  <si>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</si>
  <si>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</si>
  <si>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</si>
  <si>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</si>
  <si>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</si>
  <si>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</si>
  <si>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</si>
  <si>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</si>
  <si>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</si>
  <si>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</si>
  <si>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</si>
  <si>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</si>
  <si>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</si>
  <si>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</si>
  <si>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</si>
  <si>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</si>
  <si>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</si>
  <si>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</si>
  <si>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</si>
  <si>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</si>
  <si>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</si>
  <si>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</si>
  <si>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</si>
  <si>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</si>
  <si>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</si>
  <si>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</si>
  <si>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</si>
  <si>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</si>
  <si>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</si>
  <si>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</si>
  <si>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</si>
  <si>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</si>
  <si>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</si>
  <si>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</si>
  <si>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</si>
  <si>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</si>
  <si>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</si>
  <si>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</si>
  <si>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</si>
  <si>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</si>
  <si>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</si>
  <si>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</si>
  <si>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</si>
  <si>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</si>
  <si>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</si>
  <si>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</si>
  <si>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</si>
  <si>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</si>
  <si>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</si>
  <si>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</si>
  <si>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</si>
  <si>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</si>
  <si>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</si>
  <si>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</si>
  <si>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</si>
  <si>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</si>
  <si>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</si>
  <si>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</si>
  <si>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</si>
  <si>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</si>
  <si>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</si>
  <si>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</si>
  <si>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</si>
  <si>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</si>
  <si>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</si>
  <si>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</si>
  <si>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</si>
  <si>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</si>
  <si>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</si>
  <si>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</si>
  <si>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</si>
  <si>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</si>
  <si>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</si>
  <si>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</si>
  <si>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</si>
  <si>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</si>
  <si>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</si>
  <si>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</si>
  <si>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</si>
  <si>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</si>
  <si>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</si>
  <si>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</si>
  <si>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</si>
  <si>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</si>
  <si>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</si>
  <si>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</si>
  <si>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</si>
  <si>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</si>
  <si>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</si>
  <si>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</si>
  <si>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</si>
  <si>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</si>
  <si>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</si>
  <si>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</si>
  <si>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</si>
  <si>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</si>
  <si>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</si>
  <si>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</si>
  <si>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</si>
  <si>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</si>
  <si>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</si>
  <si>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</si>
  <si>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</si>
  <si>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</si>
  <si>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</si>
  <si>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</si>
  <si>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</si>
  <si>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</si>
  <si>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</si>
  <si>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</si>
  <si>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</si>
  <si>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</si>
  <si>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</si>
  <si>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</si>
  <si>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</si>
  <si>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</si>
  <si>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</si>
  <si>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</si>
  <si>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</si>
  <si>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</si>
  <si>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</si>
  <si>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</si>
  <si>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</si>
  <si>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</si>
  <si>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</si>
  <si>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</si>
  <si>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</si>
  <si>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</si>
  <si>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</si>
  <si>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</si>
  <si>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</si>
  <si>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</si>
  <si>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</si>
  <si>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</si>
  <si>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</si>
  <si>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</si>
  <si>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</si>
  <si>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</si>
  <si>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</si>
  <si>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</si>
  <si>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</si>
  <si>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</si>
  <si>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</si>
  <si>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</si>
  <si>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</si>
  <si>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</si>
  <si>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</si>
  <si>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</si>
  <si>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</si>
  <si>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</si>
  <si>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</si>
  <si>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</si>
  <si>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</si>
  <si>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</si>
  <si>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</si>
  <si>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</si>
  <si>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</si>
  <si>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</si>
  <si>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</si>
  <si>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</si>
  <si>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</si>
  <si>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</si>
  <si>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</si>
  <si>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</si>
  <si>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</si>
  <si>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</si>
  <si>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</si>
  <si>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</si>
  <si>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</si>
  <si>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</si>
  <si>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</si>
  <si>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</si>
  <si>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</si>
  <si>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</si>
  <si>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</si>
  <si>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</si>
  <si>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</si>
  <si>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</si>
  <si>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</si>
  <si>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</si>
  <si>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</si>
  <si>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</si>
  <si>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</si>
  <si>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</si>
  <si>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</si>
  <si>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</si>
  <si>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</si>
  <si>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</si>
  <si>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</si>
  <si>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</si>
  <si>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</si>
  <si>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</si>
  <si>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</si>
  <si>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</si>
  <si>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</si>
  <si>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</si>
  <si>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</si>
  <si>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</si>
  <si>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</si>
  <si>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</si>
  <si>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</si>
  <si>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</si>
  <si>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</si>
  <si>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</si>
  <si>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</si>
  <si>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</si>
  <si>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</si>
  <si>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</si>
  <si>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</si>
  <si>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</si>
  <si>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</si>
  <si>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</si>
  <si>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</si>
  <si>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</si>
  <si>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</si>
  <si>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</si>
  <si>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</si>
  <si>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</si>
  <si>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</si>
  <si>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</si>
  <si>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</si>
  <si>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</si>
  <si>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</si>
  <si>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</si>
  <si>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</si>
  <si>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</si>
  <si>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</si>
  <si>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</si>
  <si>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</si>
  <si>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</si>
  <si>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</si>
  <si>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</si>
  <si>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</si>
  <si>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</si>
  <si>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</si>
  <si>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</si>
  <si>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</si>
  <si>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</si>
  <si>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</si>
  <si>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</si>
  <si>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</si>
  <si>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</si>
  <si>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</si>
  <si>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</si>
  <si>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</si>
  <si>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</si>
  <si>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</si>
  <si>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</si>
  <si>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</si>
  <si>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</si>
  <si>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</si>
  <si>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</si>
  <si>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</si>
  <si>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</si>
  <si>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</si>
  <si>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</si>
  <si>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</si>
  <si>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</si>
  <si>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</si>
  <si>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</si>
  <si>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</si>
  <si>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</si>
  <si>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</si>
  <si>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</si>
  <si>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</si>
  <si>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</si>
  <si>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</si>
  <si>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</si>
  <si>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</si>
  <si>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</si>
  <si>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</si>
  <si>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</si>
  <si>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</si>
  <si>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</si>
  <si>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</si>
  <si>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</si>
  <si>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</si>
  <si>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</si>
  <si>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</si>
  <si>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</si>
  <si>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</si>
  <si>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</si>
  <si>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</si>
  <si>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</si>
  <si>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</si>
  <si>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</si>
  <si>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</si>
  <si>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</si>
  <si>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</si>
  <si>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</si>
  <si>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</si>
  <si>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</si>
  <si>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</si>
  <si>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</si>
  <si>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</si>
  <si>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</si>
  <si>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</si>
  <si>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</si>
  <si>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</si>
  <si>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</si>
  <si>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</si>
  <si>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</si>
  <si>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</si>
  <si>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</si>
  <si>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</si>
  <si>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</si>
  <si>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</si>
  <si>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</si>
  <si>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</si>
  <si>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</si>
  <si>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</si>
  <si>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</si>
  <si>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</si>
  <si>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</si>
  <si>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</si>
  <si>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</si>
  <si>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</si>
  <si>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</si>
  <si>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</si>
  <si>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</si>
  <si>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</si>
  <si>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</si>
  <si>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</si>
  <si>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</si>
  <si>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</si>
  <si>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</si>
  <si>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</si>
  <si>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</si>
  <si>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</si>
  <si>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</si>
  <si>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</si>
  <si>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</si>
  <si>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</si>
  <si>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</si>
  <si>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</si>
  <si>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</si>
  <si>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</si>
  <si>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</si>
  <si>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</si>
  <si>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</si>
  <si>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</si>
  <si>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</si>
  <si>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</si>
  <si>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</si>
  <si>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</si>
  <si>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</si>
  <si>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</si>
  <si>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</si>
  <si>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</si>
  <si>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</si>
  <si>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</si>
  <si>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</si>
  <si>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</si>
  <si>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</si>
  <si>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</si>
  <si>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</si>
  <si>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</si>
  <si>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</si>
  <si>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</si>
  <si>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</si>
  <si>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</si>
  <si>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</si>
  <si>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</si>
  <si>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</si>
  <si>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</si>
  <si>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</si>
  <si>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</si>
  <si>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</si>
  <si>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</si>
  <si>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</si>
  <si>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</si>
  <si>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</si>
  <si>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</si>
  <si>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</si>
  <si>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</si>
  <si>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</si>
  <si>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</si>
  <si>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</si>
  <si>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</si>
  <si>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</si>
  <si>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</si>
  <si>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</si>
  <si>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</si>
  <si>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</si>
  <si>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</si>
  <si>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</si>
  <si>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</si>
  <si>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</si>
  <si>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</si>
  <si>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</si>
  <si>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</si>
  <si>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</si>
  <si>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</si>
  <si>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</si>
  <si>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</si>
  <si>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</si>
  <si>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</si>
  <si>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</si>
  <si>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</si>
  <si>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</si>
  <si>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</si>
  <si>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</si>
  <si>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</si>
  <si>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</si>
  <si>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</si>
  <si>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</si>
  <si>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</si>
  <si>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</si>
  <si>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</si>
  <si>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</si>
  <si>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</si>
  <si>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</si>
  <si>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</si>
  <si>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</si>
  <si>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</si>
  <si>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</si>
  <si>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</si>
  <si>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</si>
  <si>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</si>
  <si>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</si>
  <si>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</si>
  <si>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</si>
  <si>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</si>
  <si>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</si>
  <si>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</si>
  <si>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</si>
  <si>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</si>
  <si>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</si>
  <si>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</si>
  <si>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</si>
  <si>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</si>
  <si>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</si>
  <si>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</si>
  <si>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</si>
  <si>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</si>
  <si>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</si>
  <si>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</si>
  <si>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</si>
  <si>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</si>
  <si>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</si>
  <si>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</si>
  <si>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</si>
  <si>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</si>
  <si>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</si>
  <si>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</si>
  <si>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</si>
  <si>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</si>
  <si>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</si>
  <si>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</si>
  <si>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</si>
  <si>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</si>
  <si>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</si>
  <si>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</si>
  <si>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</si>
  <si>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</si>
  <si>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</si>
  <si>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</si>
  <si>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</si>
  <si>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</si>
  <si>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</si>
  <si>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</si>
  <si>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</si>
  <si>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</si>
  <si>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</si>
  <si>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</si>
  <si>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</si>
  <si>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</si>
  <si>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</si>
  <si>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</si>
  <si>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</si>
  <si>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</si>
  <si>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</si>
  <si>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</si>
  <si>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</si>
  <si>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</si>
  <si>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</si>
  <si>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</si>
  <si>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</si>
  <si>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</si>
  <si>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</si>
  <si>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</si>
  <si>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</si>
  <si>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</si>
  <si>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</si>
  <si>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</si>
  <si>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</si>
  <si>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</si>
  <si>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</si>
  <si>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</si>
  <si>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</si>
  <si>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</si>
  <si>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</si>
  <si>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</si>
  <si>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</si>
  <si>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</si>
  <si>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</si>
  <si>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</si>
  <si>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</si>
  <si>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</si>
  <si>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</si>
  <si>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</si>
  <si>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</si>
  <si>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</si>
  <si>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</si>
  <si>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</si>
  <si>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</si>
  <si>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</si>
  <si>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</si>
  <si>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</si>
  <si>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</si>
  <si>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</si>
  <si>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</si>
  <si>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</si>
  <si>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</si>
  <si>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</si>
  <si>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</si>
  <si>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</si>
  <si>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</si>
  <si>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</si>
  <si>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</si>
  <si>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</si>
  <si>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</si>
  <si>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</si>
  <si>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</si>
  <si>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</si>
  <si>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</si>
  <si>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</si>
  <si>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</si>
  <si>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</si>
  <si>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</si>
  <si>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</si>
  <si>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</si>
  <si>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</si>
  <si>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</si>
  <si>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</si>
  <si>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</si>
  <si>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</si>
  <si>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</si>
  <si>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</si>
  <si>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</si>
  <si>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</si>
  <si>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</si>
  <si>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</si>
  <si>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</si>
  <si>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</si>
  <si>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</si>
  <si>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</si>
  <si>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</si>
  <si>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</si>
  <si>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</si>
  <si>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</si>
  <si>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</si>
  <si>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</si>
  <si>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</si>
  <si>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</si>
  <si>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</si>
  <si>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</si>
  <si>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</si>
  <si>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</si>
  <si>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</si>
  <si>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</si>
  <si>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</si>
  <si>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</si>
  <si>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</si>
  <si>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</si>
  <si>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</si>
  <si>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</si>
  <si>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</si>
  <si>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</si>
  <si>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</si>
  <si>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</si>
  <si>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</si>
  <si>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</si>
  <si>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</si>
  <si>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</si>
  <si>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</si>
  <si>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</si>
  <si>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</si>
  <si>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</si>
  <si>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</si>
  <si>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</si>
  <si>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</si>
  <si>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</si>
  <si>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</si>
  <si>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</si>
  <si>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</si>
  <si>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</si>
  <si>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</si>
  <si>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</si>
  <si>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</si>
  <si>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</si>
  <si>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</si>
  <si>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</si>
  <si>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</si>
  <si>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</si>
  <si>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</si>
  <si>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</si>
  <si>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</si>
  <si>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</si>
  <si>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</si>
  <si>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</si>
  <si>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</si>
  <si>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</si>
  <si>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</si>
  <si>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</si>
  <si>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</si>
  <si>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</si>
  <si>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</si>
  <si>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</si>
  <si>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</si>
  <si>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</si>
  <si>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</si>
  <si>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</si>
  <si>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</si>
  <si>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</si>
  <si>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</si>
  <si>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</si>
  <si>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</si>
  <si>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</si>
  <si>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</si>
  <si>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</si>
  <si>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</si>
  <si>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</si>
  <si>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</si>
  <si>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</si>
  <si>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</si>
  <si>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</si>
  <si>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</si>
  <si>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</si>
  <si>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</si>
  <si>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</si>
  <si>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</si>
  <si>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</si>
  <si>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</si>
  <si>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</si>
  <si>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</si>
  <si>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</si>
  <si>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</si>
  <si>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</si>
  <si>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</si>
  <si>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</si>
  <si>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</si>
  <si>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</si>
  <si>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</si>
  <si>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</si>
  <si>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</si>
  <si>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</si>
  <si>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</si>
  <si>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</si>
  <si>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</si>
  <si>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</si>
  <si>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</si>
  <si>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</si>
  <si>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</si>
  <si>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</si>
  <si>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</si>
  <si>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</si>
  <si>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</si>
  <si>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</si>
  <si>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</si>
  <si>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</si>
  <si>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</si>
  <si>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</si>
  <si>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</si>
  <si>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</si>
  <si>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</si>
  <si>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</si>
  <si>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</si>
  <si>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</si>
  <si>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</si>
  <si>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</si>
  <si>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</si>
  <si>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</si>
  <si>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</si>
  <si>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</si>
  <si>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</si>
  <si>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</si>
  <si>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</si>
  <si>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</si>
  <si>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</si>
  <si>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</si>
  <si>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</si>
  <si>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</si>
  <si>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</si>
  <si>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</si>
  <si>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</si>
  <si>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</si>
  <si>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</si>
  <si>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</si>
  <si>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</si>
  <si>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</si>
  <si>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</si>
  <si>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</si>
  <si>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</si>
  <si>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</si>
  <si>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</si>
  <si>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</si>
  <si>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</si>
  <si>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</si>
  <si>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</si>
  <si>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</si>
  <si>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</si>
  <si>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</si>
  <si>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</si>
  <si>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</si>
  <si>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</si>
  <si>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</si>
  <si>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</si>
  <si>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</si>
  <si>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</si>
  <si>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</si>
  <si>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</si>
  <si>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</si>
  <si>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</si>
  <si>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</si>
  <si>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</si>
  <si>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</si>
  <si>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</si>
  <si>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</si>
  <si>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</si>
  <si>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</si>
  <si>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</si>
  <si>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</si>
  <si>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</si>
  <si>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</si>
  <si>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</si>
  <si>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</si>
  <si>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</si>
  <si>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</si>
  <si>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</si>
  <si>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</si>
  <si>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</si>
  <si>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</si>
  <si>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</si>
  <si>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</si>
  <si>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</si>
  <si>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</si>
  <si>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</si>
  <si>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</si>
  <si>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</si>
  <si>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</si>
  <si>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</si>
  <si>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</si>
  <si>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</si>
  <si>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</si>
  <si>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</si>
  <si>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</si>
  <si>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</si>
  <si>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</si>
  <si>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</si>
  <si>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</si>
  <si>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</si>
  <si>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</si>
  <si>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</si>
  <si>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</si>
  <si>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</si>
  <si>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</si>
  <si>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</si>
  <si>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</si>
  <si>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</si>
  <si>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</si>
  <si>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</si>
  <si>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</si>
  <si>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</si>
  <si>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</si>
  <si>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</si>
  <si>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</si>
  <si>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</si>
  <si>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</si>
  <si>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</si>
  <si>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</si>
  <si>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</si>
  <si>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</si>
  <si>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</si>
  <si>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</si>
  <si>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</si>
  <si>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</si>
  <si>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</si>
  <si>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</si>
  <si>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</si>
  <si>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</si>
  <si>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</si>
  <si>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</si>
  <si>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</si>
  <si>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</si>
  <si>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</si>
  <si>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</si>
  <si>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</si>
  <si>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</si>
  <si>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</si>
  <si>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</si>
  <si>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</si>
  <si>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</si>
  <si>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</si>
  <si>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</si>
  <si>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</si>
  <si>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</si>
  <si>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</si>
  <si>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</si>
  <si>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</si>
  <si>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</si>
  <si>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</si>
  <si>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</si>
  <si>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</si>
  <si>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</si>
  <si>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</si>
  <si>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</si>
  <si>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</si>
  <si>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</si>
  <si>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</si>
  <si>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</si>
  <si>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</si>
  <si>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</si>
  <si>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</si>
  <si>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</si>
  <si>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</si>
  <si>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</si>
  <si>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</si>
  <si>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</si>
  <si>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</si>
  <si>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</si>
  <si>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</si>
  <si>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</si>
  <si>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</si>
  <si>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</si>
  <si>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</si>
  <si>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</si>
  <si>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</si>
  <si>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</si>
  <si>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</si>
  <si>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</si>
  <si>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</si>
  <si>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</si>
  <si>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</si>
  <si>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</si>
  <si>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</si>
  <si>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</si>
  <si>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</si>
  <si>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</si>
  <si>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</si>
  <si>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</si>
  <si>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</si>
  <si>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</si>
  <si>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</si>
  <si>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</si>
  <si>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</si>
  <si>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</si>
  <si>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</si>
  <si>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</si>
  <si>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</si>
  <si>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</si>
  <si>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</si>
  <si>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</si>
  <si>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</si>
  <si>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</si>
  <si>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</si>
  <si>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</si>
  <si>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</si>
  <si>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</si>
  <si>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</si>
  <si>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</si>
  <si>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</si>
  <si>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</si>
  <si>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</si>
  <si>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</si>
  <si>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</si>
  <si>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</si>
  <si>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</si>
  <si>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</si>
  <si>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</si>
  <si>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</si>
  <si>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</si>
  <si>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</si>
  <si>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</si>
  <si>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</si>
  <si>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</si>
  <si>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</si>
  <si>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</si>
  <si>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</si>
  <si>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</si>
  <si>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</si>
  <si>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</si>
  <si>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</si>
  <si>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</si>
  <si>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</si>
  <si>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</si>
  <si>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</si>
  <si>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</si>
  <si>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</si>
  <si>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</si>
  <si>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</si>
  <si>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</si>
  <si>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</si>
  <si>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</si>
  <si>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</si>
  <si>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</si>
  <si>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</si>
  <si>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</si>
  <si>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</si>
  <si>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</si>
  <si>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</si>
  <si>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</si>
  <si>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</si>
  <si>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</si>
  <si>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</si>
  <si>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</si>
  <si>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</si>
  <si>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</si>
  <si>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</si>
  <si>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</si>
  <si>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</si>
  <si>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</si>
  <si>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</si>
  <si>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</si>
  <si>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</si>
  <si>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</si>
  <si>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</si>
  <si>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</si>
  <si>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</si>
  <si>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</si>
  <si>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</si>
  <si>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</si>
  <si>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</si>
  <si>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</si>
  <si>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</si>
  <si>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</si>
  <si>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</si>
  <si>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</si>
  <si>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</si>
  <si>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</si>
  <si>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</si>
  <si>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</si>
  <si>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</si>
  <si>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</si>
  <si>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</si>
  <si>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</si>
  <si>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</si>
  <si>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</si>
  <si>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</si>
  <si>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</si>
  <si>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</si>
  <si>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</si>
  <si>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</si>
  <si>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</si>
  <si>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</si>
  <si>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</si>
  <si>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</si>
  <si>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</si>
  <si>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</si>
  <si>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</si>
  <si>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</si>
  <si>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</si>
  <si>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</si>
  <si>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</si>
  <si>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</si>
  <si>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</si>
  <si>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</si>
  <si>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</si>
  <si>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</si>
  <si>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</si>
  <si>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</si>
  <si>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</si>
  <si>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</si>
  <si>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</si>
  <si>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</si>
  <si>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</si>
  <si>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</si>
  <si>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</si>
  <si>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</si>
  <si>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</si>
  <si>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</si>
  <si>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</si>
  <si>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</si>
  <si>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</si>
  <si>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</si>
  <si>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</si>
  <si>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</si>
  <si>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</si>
  <si>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</si>
  <si>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</si>
  <si>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</si>
  <si>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</si>
  <si>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</si>
  <si>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</si>
  <si>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</si>
  <si>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</si>
  <si>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</si>
  <si>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</si>
  <si>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</si>
  <si>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</si>
  <si>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</si>
  <si>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</si>
  <si>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</si>
  <si>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</si>
  <si>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</si>
  <si>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</si>
  <si>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</si>
  <si>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</si>
  <si>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</si>
  <si>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</si>
  <si>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</si>
  <si>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</si>
  <si>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</si>
  <si>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</si>
  <si>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</si>
  <si>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</si>
  <si>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</si>
  <si>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</si>
  <si>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</si>
  <si>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</si>
  <si>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</si>
  <si>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</si>
  <si>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</si>
  <si>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</si>
  <si>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</si>
  <si>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</si>
  <si>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</si>
  <si>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</si>
  <si>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</si>
  <si>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</si>
  <si>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</si>
  <si>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</si>
  <si>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</si>
  <si>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</si>
  <si>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</si>
  <si>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</si>
  <si>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</si>
  <si>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</si>
  <si>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</si>
  <si>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</si>
  <si>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</si>
  <si>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</si>
  <si>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</si>
  <si>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</si>
  <si>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</si>
  <si>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</si>
  <si>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</si>
  <si>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</si>
  <si>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</si>
  <si>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</si>
  <si>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</si>
  <si>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</si>
  <si>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</si>
  <si>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</si>
  <si>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</si>
  <si>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</si>
  <si>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</si>
  <si>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</si>
  <si>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</si>
  <si>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</si>
  <si>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</si>
  <si>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</si>
  <si>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</si>
  <si>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</si>
  <si>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</si>
  <si>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</si>
  <si>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</si>
  <si>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</si>
  <si>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</si>
  <si>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</si>
  <si>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</si>
  <si>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</si>
  <si>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</si>
  <si>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</si>
  <si>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</si>
  <si>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</si>
  <si>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</si>
  <si>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</si>
  <si>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</si>
  <si>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</si>
  <si>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</si>
  <si>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</si>
  <si>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</si>
  <si>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</si>
  <si>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</si>
  <si>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</si>
  <si>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</si>
  <si>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</si>
  <si>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</si>
  <si>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</si>
  <si>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</si>
  <si>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</si>
  <si>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</si>
  <si>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</si>
  <si>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</si>
  <si>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</si>
  <si>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</si>
  <si>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</si>
  <si>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</si>
  <si>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</si>
  <si>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</si>
  <si>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</si>
  <si>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</si>
  <si>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</si>
  <si>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</si>
  <si>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</si>
  <si>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</si>
  <si>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</si>
  <si>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</si>
  <si>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</si>
  <si>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</si>
  <si>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</si>
  <si>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</si>
  <si>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</si>
  <si>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</si>
  <si>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</si>
  <si>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</si>
  <si>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</si>
  <si>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</si>
  <si>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</si>
  <si>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</si>
  <si>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</si>
  <si>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</si>
  <si>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</si>
  <si>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</si>
  <si>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</si>
  <si>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</si>
  <si>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</si>
  <si>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</si>
  <si>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</si>
  <si>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</si>
  <si>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</si>
  <si>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</si>
  <si>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</si>
  <si>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</si>
  <si>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</si>
  <si>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</si>
  <si>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</si>
  <si>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</si>
  <si>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</si>
  <si>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</si>
  <si>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</si>
  <si>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</si>
  <si>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</si>
  <si>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</si>
  <si>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</si>
  <si>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</si>
  <si>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</si>
  <si>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</si>
  <si>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</si>
  <si>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</si>
  <si>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</si>
  <si>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</si>
  <si>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</si>
  <si>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</si>
  <si>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</si>
  <si>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</si>
  <si>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</si>
  <si>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</si>
  <si>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</si>
  <si>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</si>
  <si>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</si>
  <si>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</si>
  <si>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</si>
  <si>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</si>
  <si>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</si>
  <si>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</si>
  <si>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</si>
  <si>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</si>
  <si>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</si>
  <si>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</si>
  <si>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</si>
  <si>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</si>
  <si>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</si>
  <si>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</si>
  <si>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</si>
  <si>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</si>
  <si>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</si>
  <si>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</si>
  <si>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</si>
  <si>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</si>
  <si>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</si>
  <si>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</si>
  <si>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</si>
  <si>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</si>
  <si>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</si>
  <si>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</si>
  <si>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</si>
  <si>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</si>
  <si>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</si>
  <si>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</si>
  <si>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</si>
  <si>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</si>
  <si>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</si>
  <si>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</si>
  <si>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</si>
  <si>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</si>
  <si>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</si>
  <si>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</si>
  <si>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</si>
  <si>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</si>
  <si>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</si>
  <si>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</si>
  <si>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</si>
  <si>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</si>
  <si>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</si>
  <si>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</si>
  <si>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</si>
  <si>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</si>
  <si>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</si>
  <si>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</si>
  <si>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</si>
  <si>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</si>
  <si>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</si>
  <si>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</si>
  <si>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</si>
  <si>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</si>
  <si>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</si>
  <si>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</si>
  <si>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</si>
  <si>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</si>
  <si>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</si>
  <si>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</si>
  <si>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</si>
  <si>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</si>
  <si>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</si>
  <si>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</si>
  <si>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</si>
  <si>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</si>
  <si>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</si>
  <si>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</si>
  <si>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</si>
  <si>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</si>
  <si>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</si>
  <si>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</si>
  <si>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</si>
  <si>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</si>
  <si>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</si>
  <si>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</si>
  <si>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</si>
  <si>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</si>
  <si>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</si>
  <si>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</si>
  <si>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</si>
  <si>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</si>
  <si>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</si>
  <si>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</si>
  <si>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</si>
  <si>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</si>
  <si>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</si>
  <si>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</si>
  <si>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</si>
  <si>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</si>
  <si>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</si>
  <si>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</si>
  <si>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</si>
  <si>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</si>
  <si>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</si>
  <si>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</si>
  <si>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</si>
  <si>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</si>
  <si>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</si>
  <si>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</si>
  <si>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</si>
  <si>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</si>
  <si>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</si>
  <si>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</si>
  <si>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</si>
  <si>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</si>
  <si>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</si>
  <si>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</si>
  <si>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</si>
  <si>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</si>
  <si>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</si>
  <si>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</si>
  <si>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</si>
  <si>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</si>
  <si>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</si>
  <si>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</si>
  <si>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</si>
  <si>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</si>
  <si>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</si>
  <si>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</si>
  <si>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</si>
  <si>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</si>
  <si>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</si>
  <si>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</si>
  <si>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</si>
  <si>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</si>
  <si>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</si>
  <si>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</si>
  <si>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</si>
  <si>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</si>
  <si>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</si>
  <si>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</si>
  <si>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</si>
  <si>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</si>
  <si>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</si>
  <si>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</si>
  <si>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</si>
  <si>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</si>
  <si>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</si>
  <si>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</si>
  <si>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</si>
  <si>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</si>
  <si>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</si>
  <si>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</si>
  <si>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</si>
  <si>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</si>
  <si>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</si>
  <si>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</si>
  <si>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</si>
  <si>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</si>
  <si>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</si>
  <si>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</si>
  <si>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</si>
  <si>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</si>
  <si>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</si>
  <si>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</si>
  <si>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</si>
  <si>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</si>
  <si>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</si>
  <si>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</si>
  <si>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</si>
  <si>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</si>
  <si>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</si>
  <si>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</si>
  <si>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</si>
  <si>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</si>
  <si>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</si>
  <si>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</si>
  <si>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</si>
  <si>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</si>
  <si>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</si>
  <si>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</si>
  <si>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</si>
  <si>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</si>
  <si>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</si>
  <si>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</si>
  <si>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</si>
  <si>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</si>
  <si>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</si>
  <si>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</si>
  <si>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</si>
  <si>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</si>
  <si>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</si>
  <si>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</si>
  <si>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</si>
  <si>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</si>
  <si>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</si>
  <si>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</si>
  <si>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</si>
  <si>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</si>
  <si>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</si>
  <si>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</si>
  <si>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</si>
  <si>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</si>
  <si>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</si>
  <si>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</si>
  <si>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</si>
  <si>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</si>
  <si>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</si>
  <si>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</si>
  <si>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</si>
  <si>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</si>
  <si>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</si>
  <si>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</si>
  <si>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</si>
  <si>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</si>
  <si>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</si>
  <si>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</si>
  <si>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</si>
  <si>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</si>
  <si>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</si>
  <si>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</si>
  <si>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</si>
  <si>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</si>
  <si>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</si>
  <si>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</si>
  <si>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</si>
  <si>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</si>
  <si>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</si>
  <si>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</si>
  <si>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</si>
  <si>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</si>
  <si>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</si>
  <si>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</si>
  <si>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</si>
  <si>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</si>
  <si>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</si>
  <si>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</si>
  <si>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</si>
  <si>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</si>
  <si>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</si>
  <si>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</si>
  <si>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</si>
  <si>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</si>
  <si>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</si>
  <si>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</si>
  <si>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</si>
  <si>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</si>
  <si>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</si>
  <si>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</si>
  <si>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</si>
  <si>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</si>
  <si>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</si>
  <si>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</si>
  <si>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</si>
  <si>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</si>
  <si>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</si>
  <si>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</si>
  <si>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</si>
  <si>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</si>
  <si>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</si>
  <si>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</si>
  <si>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</si>
  <si>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</si>
  <si>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</si>
  <si>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</si>
  <si>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</si>
  <si>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</si>
  <si>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</si>
  <si>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</si>
  <si>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</si>
  <si>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</si>
  <si>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</si>
  <si>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</si>
  <si>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</si>
  <si>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</si>
  <si>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</si>
  <si>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</si>
  <si>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</si>
  <si>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</si>
  <si>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</si>
  <si>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</si>
  <si>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</si>
  <si>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</si>
  <si>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</si>
  <si>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</si>
  <si>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</si>
  <si>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</si>
  <si>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</si>
  <si>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</si>
  <si>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</si>
  <si>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</si>
  <si>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</si>
  <si>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</si>
  <si>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</si>
  <si>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</si>
  <si>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</si>
  <si>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</si>
  <si>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</si>
  <si>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</si>
  <si>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</si>
  <si>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</si>
  <si>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</si>
  <si>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</si>
  <si>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</si>
  <si>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</si>
  <si>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</si>
  <si>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</si>
  <si>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</si>
  <si>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</si>
  <si>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</si>
  <si>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</si>
  <si>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</si>
  <si>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</si>
  <si>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</si>
  <si>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</si>
  <si>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</si>
  <si>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</si>
  <si>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</si>
  <si>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</si>
  <si>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</si>
  <si>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</si>
  <si>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</si>
  <si>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</si>
  <si>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</si>
  <si>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</si>
  <si>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</si>
  <si>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</si>
  <si>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</si>
  <si>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</si>
  <si>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</si>
  <si>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</si>
  <si>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</si>
  <si>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</si>
  <si>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</si>
  <si>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</si>
  <si>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</si>
  <si>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</si>
  <si>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</si>
  <si>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</si>
  <si>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</si>
  <si>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</si>
  <si>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</si>
  <si>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</si>
  <si>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</si>
  <si>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</si>
  <si>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</si>
  <si>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</si>
  <si>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</si>
  <si>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</si>
  <si>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</si>
  <si>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</si>
  <si>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</si>
  <si>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</si>
  <si>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</si>
  <si>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</si>
  <si>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</si>
  <si>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</si>
  <si>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</si>
  <si>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</si>
  <si>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</si>
  <si>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</si>
  <si>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</si>
  <si>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</si>
  <si>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</si>
  <si>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</si>
  <si>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</si>
  <si>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</si>
  <si>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</si>
  <si>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</si>
  <si>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</si>
  <si>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</si>
  <si>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</si>
  <si>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</si>
  <si>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</si>
  <si>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</si>
  <si>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</si>
  <si>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</si>
  <si>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</si>
  <si>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</si>
  <si>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</si>
  <si>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</si>
  <si>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</si>
  <si>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</si>
  <si>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</si>
  <si>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</si>
  <si>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</si>
  <si>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</si>
  <si>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</si>
  <si>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</si>
  <si>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</si>
  <si>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</si>
  <si>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</si>
  <si>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</si>
  <si>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</si>
  <si>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</si>
  <si>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</si>
  <si>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</si>
  <si>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</si>
  <si>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</si>
  <si>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</si>
  <si>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</si>
  <si>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</si>
  <si>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</si>
  <si>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</si>
  <si>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</si>
  <si>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</si>
  <si>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</si>
  <si>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</si>
  <si>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</si>
  <si>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</si>
  <si>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</si>
  <si>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</si>
  <si>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</si>
  <si>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</si>
  <si>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</si>
  <si>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</si>
  <si>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</si>
  <si>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</si>
  <si>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</si>
  <si>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</si>
  <si>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</si>
  <si>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</si>
  <si>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</si>
  <si>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</si>
  <si>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</si>
  <si>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</si>
  <si>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</si>
  <si>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</si>
  <si>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</si>
  <si>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</si>
  <si>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</si>
  <si>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</si>
  <si>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</si>
  <si>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</si>
  <si>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</si>
  <si>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</si>
  <si>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</si>
  <si>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</si>
  <si>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</si>
  <si>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</si>
  <si>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</si>
  <si>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</si>
  <si>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</si>
  <si>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</si>
  <si>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</si>
  <si>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</si>
  <si>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</si>
  <si>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</si>
  <si>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</si>
  <si>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</si>
  <si>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</si>
  <si>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</si>
  <si>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</si>
  <si>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</si>
  <si>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</si>
  <si>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</si>
  <si>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</si>
  <si>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</si>
  <si>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</si>
  <si>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</si>
  <si>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</si>
  <si>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</si>
  <si>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</si>
  <si>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</si>
  <si>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</si>
  <si>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</si>
  <si>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</si>
  <si>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</si>
  <si>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</si>
  <si>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</si>
  <si>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</si>
  <si>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</si>
  <si>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</si>
  <si>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</si>
  <si>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</si>
  <si>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</si>
  <si>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</si>
  <si>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</si>
  <si>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</si>
  <si>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</si>
  <si>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</si>
  <si>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</si>
  <si>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</si>
  <si>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</si>
  <si>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</si>
  <si>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</si>
  <si>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</si>
  <si>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</si>
  <si>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</si>
  <si>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</si>
  <si>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</si>
  <si>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</si>
  <si>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</si>
  <si>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</si>
  <si>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</si>
  <si>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</si>
  <si>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</si>
  <si>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</si>
  <si>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</si>
  <si>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</si>
  <si>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</si>
  <si>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</si>
  <si>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</si>
  <si>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</si>
  <si>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</si>
  <si>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</si>
  <si>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</si>
  <si>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</si>
  <si>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</si>
  <si>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</si>
  <si>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</si>
  <si>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</si>
  <si>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</si>
  <si>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</si>
  <si>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</si>
  <si>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</si>
  <si>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</si>
  <si>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</si>
  <si>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</si>
  <si>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</si>
  <si>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</si>
  <si>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</si>
  <si>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</si>
  <si>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</si>
  <si>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</si>
  <si>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</si>
  <si>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</si>
  <si>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</si>
  <si>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</si>
  <si>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</si>
  <si>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</si>
  <si>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</si>
  <si>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</si>
  <si>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</si>
  <si>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</si>
  <si>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</si>
  <si>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</si>
  <si>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</si>
  <si>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</si>
  <si>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</si>
  <si>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</si>
  <si>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</si>
  <si>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</si>
  <si>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</si>
  <si>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</si>
  <si>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</si>
  <si>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</si>
  <si>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</si>
  <si>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</si>
  <si>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</si>
  <si>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</si>
  <si>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</si>
  <si>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</si>
  <si>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</si>
  <si>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</si>
  <si>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</si>
  <si>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</si>
  <si>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</si>
  <si>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</si>
  <si>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</si>
  <si>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</si>
  <si>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</si>
  <si>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</si>
  <si>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</si>
  <si>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</si>
  <si>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</si>
  <si>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</si>
  <si>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</si>
  <si>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</si>
  <si>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</si>
  <si>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</si>
  <si>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</si>
  <si>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</si>
  <si>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</si>
  <si>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</si>
  <si>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</si>
  <si>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</si>
  <si>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</si>
  <si>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</si>
  <si>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</si>
  <si>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</si>
  <si>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</si>
  <si>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</si>
  <si>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</si>
  <si>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</si>
  <si>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</si>
  <si>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</si>
  <si>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</si>
  <si>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</si>
  <si>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</si>
  <si>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</si>
  <si>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</si>
  <si>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</si>
  <si>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</si>
  <si>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</si>
  <si>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</si>
  <si>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</si>
  <si>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</si>
  <si>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</si>
  <si>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</si>
  <si>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</si>
  <si>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</si>
  <si>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</si>
  <si>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</si>
  <si>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</si>
  <si>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</si>
  <si>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</si>
  <si>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</si>
  <si>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</si>
  <si>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</si>
  <si>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</si>
  <si>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</si>
  <si>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</si>
  <si>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</si>
  <si>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</si>
  <si>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</si>
  <si>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</si>
  <si>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</si>
  <si>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</si>
  <si>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</si>
  <si>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</si>
  <si>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</si>
  <si>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</si>
  <si>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</si>
  <si>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</si>
  <si>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</si>
  <si>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</si>
  <si>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</si>
  <si>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</si>
  <si>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</si>
  <si>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</si>
  <si>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</si>
  <si>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</si>
  <si>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</si>
  <si>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</si>
  <si>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</si>
  <si>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</si>
  <si>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</si>
  <si>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</si>
  <si>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</si>
  <si>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</si>
  <si>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</si>
  <si>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</si>
  <si>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</si>
  <si>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</si>
  <si>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</si>
  <si>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</si>
  <si>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</si>
  <si>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</si>
  <si>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</si>
  <si>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</si>
  <si>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</si>
  <si>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</si>
  <si>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</si>
  <si>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</si>
  <si>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</si>
  <si>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</si>
  <si>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</si>
  <si>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</si>
  <si>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</si>
  <si>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</si>
  <si>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</si>
  <si>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</si>
  <si>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</si>
  <si>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</si>
  <si>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</si>
  <si>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</si>
  <si>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</si>
  <si>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</si>
  <si>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</si>
  <si>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</si>
  <si>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</si>
  <si>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</si>
  <si>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</si>
  <si>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</si>
  <si>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</si>
  <si>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</si>
  <si>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</si>
  <si>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</si>
  <si>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</si>
  <si>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</si>
  <si>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</si>
  <si>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</si>
  <si>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</si>
  <si>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</si>
  <si>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</si>
  <si>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</si>
  <si>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</si>
  <si>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</si>
  <si>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</si>
  <si>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</si>
  <si>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</si>
  <si>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</si>
  <si>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</si>
  <si>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</si>
  <si>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</si>
  <si>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</si>
  <si>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</si>
  <si>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</si>
  <si>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</si>
  <si>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</si>
  <si>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</si>
  <si>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</si>
  <si>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</si>
  <si>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</si>
  <si>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</si>
  <si>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</si>
  <si>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</si>
  <si>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</si>
  <si>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</si>
  <si>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</si>
  <si>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</si>
  <si>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</si>
  <si>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</si>
  <si>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</si>
  <si>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</si>
  <si>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</si>
  <si>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</si>
  <si>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</si>
  <si>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</si>
  <si>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</si>
  <si>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</si>
  <si>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</si>
  <si>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</si>
  <si>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</si>
  <si>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</si>
  <si>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</si>
  <si>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</si>
  <si>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</si>
  <si>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</si>
  <si>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</si>
  <si>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</si>
  <si>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</si>
  <si>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</si>
  <si>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</si>
  <si>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</si>
  <si>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</si>
  <si>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</si>
  <si>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</si>
  <si>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</si>
  <si>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</si>
  <si>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</si>
  <si>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</si>
  <si>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</si>
  <si>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</si>
  <si>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</si>
  <si>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</si>
  <si>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</si>
  <si>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</si>
  <si>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</si>
  <si>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</si>
  <si>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</si>
  <si>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</si>
  <si>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</si>
  <si>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</si>
  <si>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</si>
  <si>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</si>
  <si>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</si>
  <si>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</si>
  <si>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</si>
  <si>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</si>
  <si>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</si>
  <si>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</si>
  <si>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</si>
  <si>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</si>
  <si>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</si>
  <si>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</si>
  <si>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</si>
  <si>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</si>
  <si>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</si>
  <si>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</si>
  <si>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</si>
  <si>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</si>
  <si>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</si>
  <si>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</si>
  <si>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</si>
  <si>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</si>
  <si>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</si>
  <si>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</si>
  <si>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</si>
  <si>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</si>
  <si>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</si>
  <si>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</si>
  <si>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</si>
  <si>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</si>
  <si>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</si>
  <si>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</si>
  <si>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</si>
  <si>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</si>
  <si>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</si>
  <si>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</si>
  <si>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</si>
  <si>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</si>
  <si>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</si>
  <si>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</si>
  <si>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</si>
  <si>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</si>
  <si>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</si>
  <si>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</si>
  <si>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</si>
  <si>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</si>
  <si>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</si>
  <si>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</si>
  <si>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</si>
  <si>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</si>
  <si>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</si>
  <si>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</si>
  <si>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</si>
  <si>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</si>
  <si>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</si>
  <si>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</si>
  <si>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</si>
  <si>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</si>
  <si>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</si>
  <si>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</si>
  <si>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</si>
  <si>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</si>
  <si>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</si>
  <si>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</si>
  <si>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</si>
  <si>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</si>
  <si>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</si>
  <si>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</si>
  <si>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</si>
  <si>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</si>
  <si>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</si>
  <si>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</si>
  <si>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</si>
  <si>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</si>
  <si>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</si>
  <si>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</si>
  <si>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</si>
  <si>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</si>
  <si>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</si>
  <si>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</si>
  <si>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</si>
  <si>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</si>
  <si>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</si>
  <si>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</si>
  <si>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</si>
  <si>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</si>
  <si>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</si>
  <si>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</si>
  <si>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</si>
  <si>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</si>
  <si>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</si>
  <si>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</si>
  <si>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</si>
  <si>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</si>
  <si>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</si>
  <si>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</si>
  <si>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</si>
  <si>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</si>
  <si>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</si>
  <si>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</si>
  <si>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</si>
  <si>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</si>
  <si>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</si>
  <si>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</si>
  <si>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</si>
  <si>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</si>
  <si>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</si>
  <si>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</si>
  <si>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</si>
  <si>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</si>
  <si>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</si>
  <si>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</si>
  <si>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</si>
  <si>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</si>
  <si>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</si>
  <si>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</si>
  <si>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</si>
  <si>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</si>
  <si>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</si>
  <si>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</si>
  <si>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</si>
  <si>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</si>
  <si>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</si>
  <si>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</si>
  <si>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</si>
  <si>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</si>
  <si>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</si>
  <si>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</si>
  <si>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</si>
  <si>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</si>
  <si>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</si>
  <si>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</si>
  <si>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</si>
  <si>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</si>
  <si>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</si>
  <si>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</si>
  <si>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</si>
  <si>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</si>
  <si>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</si>
  <si>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</si>
  <si>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</si>
  <si>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</si>
  <si>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</si>
  <si>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</si>
  <si>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</si>
  <si>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</si>
  <si>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</si>
  <si>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</si>
  <si>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</si>
  <si>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</si>
  <si>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</si>
  <si>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</si>
  <si>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</si>
  <si>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</si>
  <si>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</si>
  <si>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</si>
  <si>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</si>
  <si>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</si>
  <si>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</si>
  <si>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</si>
  <si>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</si>
  <si>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</si>
  <si>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</si>
  <si>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</si>
  <si>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</si>
  <si>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</si>
  <si>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</si>
  <si>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</si>
  <si>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</si>
  <si>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</si>
  <si>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</si>
  <si>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</si>
  <si>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</si>
  <si>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</si>
  <si>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</si>
  <si>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</si>
  <si>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</si>
  <si>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</si>
  <si>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</si>
  <si>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</si>
  <si>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</si>
  <si>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</si>
  <si>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</si>
  <si>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</si>
  <si>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</si>
  <si>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</si>
  <si>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</si>
  <si>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</si>
  <si>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</si>
  <si>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</si>
  <si>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</si>
  <si>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</si>
  <si>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</si>
  <si>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</si>
  <si>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</si>
  <si>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</si>
  <si>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</si>
  <si>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</si>
  <si>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</si>
  <si>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</si>
  <si>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</si>
  <si>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</si>
  <si>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</si>
  <si>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</si>
  <si>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</si>
  <si>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</si>
  <si>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</si>
  <si>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</si>
  <si>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</si>
  <si>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</si>
  <si>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</si>
  <si>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</si>
  <si>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</si>
  <si>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</si>
  <si>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</si>
  <si>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</si>
  <si>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</si>
  <si>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</si>
  <si>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</si>
  <si>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</si>
  <si>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</si>
  <si>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</si>
  <si>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</si>
  <si>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</si>
  <si>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</si>
  <si>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</si>
  <si>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</si>
  <si>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</si>
  <si>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</si>
  <si>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</si>
  <si>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</si>
  <si>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</si>
  <si>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</si>
  <si>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</si>
  <si>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</si>
  <si>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</si>
  <si>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</si>
  <si>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</si>
  <si>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</si>
  <si>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</si>
  <si>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</si>
  <si>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</si>
  <si>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</si>
  <si>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</si>
  <si>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</si>
  <si>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</si>
  <si>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</si>
  <si>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</si>
  <si>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</si>
  <si>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</si>
  <si>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</si>
  <si>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</si>
  <si>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</si>
  <si>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</si>
  <si>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</si>
  <si>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</si>
  <si>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</si>
  <si>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</si>
  <si>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</si>
  <si>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</si>
  <si>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</si>
  <si>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</si>
  <si>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</si>
  <si>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</si>
  <si>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</si>
  <si>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</si>
  <si>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</si>
  <si>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</si>
  <si>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</si>
  <si>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</si>
  <si>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</si>
  <si>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</si>
  <si>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</si>
  <si>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</si>
  <si>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</si>
  <si>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</si>
  <si>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</si>
  <si>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</si>
  <si>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</si>
  <si>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</si>
  <si>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</si>
  <si>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</si>
  <si>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</si>
  <si>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</si>
  <si>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</si>
  <si>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</si>
  <si>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</si>
  <si>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</si>
  <si>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</si>
  <si>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</si>
  <si>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</si>
  <si>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</si>
  <si>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</si>
  <si>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</si>
  <si>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</si>
  <si>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</si>
  <si>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</si>
  <si>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</si>
  <si>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</si>
  <si>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</si>
  <si>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</si>
  <si>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</si>
  <si>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</si>
  <si>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</si>
  <si>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</si>
  <si>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</si>
  <si>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</si>
  <si>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</si>
  <si>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</si>
  <si>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</si>
  <si>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</si>
  <si>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</si>
  <si>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</si>
  <si>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</si>
  <si>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</si>
  <si>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</si>
  <si>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</si>
  <si>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</si>
  <si>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</si>
  <si>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</si>
  <si>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</si>
  <si>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</si>
  <si>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</si>
  <si>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</si>
  <si>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</si>
  <si>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</si>
  <si>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</si>
  <si>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</si>
  <si>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</si>
  <si>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</si>
  <si>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</si>
  <si>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</si>
  <si>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</si>
  <si>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</si>
  <si>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</si>
  <si>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</si>
  <si>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</si>
  <si>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</si>
  <si>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</si>
  <si>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</si>
  <si>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</si>
  <si>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</si>
  <si>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</si>
  <si>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</si>
  <si>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</si>
  <si>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</si>
  <si>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</si>
  <si>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</si>
  <si>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</si>
  <si>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</si>
  <si>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</si>
  <si>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</si>
  <si>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</si>
  <si>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</si>
  <si>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</si>
  <si>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</si>
  <si>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</si>
  <si>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</si>
  <si>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</si>
  <si>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</si>
  <si>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</si>
  <si>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</si>
  <si>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</si>
  <si>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</si>
  <si>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</si>
  <si>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</si>
  <si>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</si>
  <si>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</si>
  <si>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</si>
  <si>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</si>
  <si>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</si>
  <si>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</si>
  <si>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</si>
  <si>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</si>
  <si>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</si>
  <si>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</si>
  <si>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</si>
  <si>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</si>
  <si>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</si>
  <si>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</si>
  <si>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</si>
  <si>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</si>
  <si>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</si>
  <si>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</si>
  <si>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</si>
  <si>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</si>
  <si>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</si>
  <si>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</si>
  <si>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</si>
  <si>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</si>
  <si>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</si>
  <si>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</si>
  <si>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</si>
  <si>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</si>
  <si>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</si>
  <si>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</si>
  <si>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</si>
  <si>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</si>
  <si>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</si>
  <si>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</si>
  <si>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</si>
  <si>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</si>
  <si>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</si>
  <si>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</si>
  <si>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</si>
  <si>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</si>
  <si>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</si>
  <si>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</si>
  <si>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</si>
  <si>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</si>
  <si>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</si>
  <si>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</si>
  <si>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</si>
  <si>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</si>
  <si>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</si>
  <si>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</si>
  <si>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</si>
  <si>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</si>
  <si>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</si>
  <si>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</si>
  <si>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</si>
  <si>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</si>
  <si>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</si>
  <si>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</si>
  <si>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</si>
  <si>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</si>
  <si>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</si>
  <si>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</si>
  <si>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</si>
  <si>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</si>
  <si>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</si>
  <si>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</si>
  <si>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</si>
  <si>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</si>
  <si>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</si>
  <si>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</si>
  <si>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</si>
  <si>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</si>
  <si>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</si>
  <si>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</si>
  <si>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</si>
  <si>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</si>
  <si>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</si>
  <si>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</si>
  <si>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</si>
  <si>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</si>
  <si>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</si>
  <si>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</si>
  <si>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</si>
  <si>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</si>
  <si>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</si>
  <si>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</si>
  <si>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</si>
  <si>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</si>
  <si>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</si>
  <si>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</si>
  <si>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</si>
  <si>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</si>
  <si>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</si>
  <si>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</si>
  <si>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</si>
  <si>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</si>
  <si>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</si>
  <si>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</si>
  <si>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</si>
  <si>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</si>
  <si>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</si>
  <si>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</si>
  <si>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</si>
  <si>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</si>
  <si>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</si>
  <si>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</si>
  <si>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</si>
  <si>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</si>
  <si>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</si>
  <si>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</si>
  <si>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</si>
  <si>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</si>
  <si>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</si>
  <si>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</si>
  <si>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</si>
  <si>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</si>
  <si>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</si>
  <si>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</si>
  <si>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</si>
  <si>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</si>
  <si>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</si>
  <si>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</si>
  <si>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</si>
  <si>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</si>
  <si>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</si>
  <si>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</si>
  <si>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</si>
  <si>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</si>
  <si>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</si>
  <si>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</si>
  <si>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</si>
  <si>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</si>
  <si>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</si>
  <si>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</si>
  <si>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</si>
  <si>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</si>
  <si>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</si>
  <si>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</si>
  <si>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</si>
  <si>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</si>
  <si>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</si>
  <si>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</si>
  <si>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</si>
  <si>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</si>
  <si>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</si>
  <si>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</si>
  <si>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</si>
  <si>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</si>
  <si>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</si>
  <si>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</si>
  <si>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</si>
  <si>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</si>
  <si>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</si>
  <si>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</si>
  <si>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</si>
  <si>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</si>
  <si>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</si>
  <si>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</si>
  <si>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</si>
  <si>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</si>
  <si>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</si>
  <si>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</si>
  <si>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</si>
  <si>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</si>
  <si>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</si>
  <si>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</si>
  <si>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</si>
  <si>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</si>
  <si>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</si>
  <si>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</si>
  <si>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</si>
  <si>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</si>
  <si>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</si>
  <si>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</si>
  <si>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</si>
  <si>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</si>
  <si>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</si>
  <si>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</si>
  <si>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</si>
  <si>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</si>
  <si>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</si>
  <si>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</si>
  <si>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</si>
  <si>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</si>
  <si>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</si>
  <si>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</si>
  <si>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</si>
  <si>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</si>
  <si>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</si>
  <si>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</si>
  <si>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</si>
  <si>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</si>
  <si>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</si>
  <si>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</si>
  <si>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</si>
  <si>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</si>
  <si>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</si>
  <si>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</si>
  <si>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</si>
  <si>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</si>
  <si>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</si>
  <si>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</si>
  <si>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</si>
  <si>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</si>
  <si>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</si>
  <si>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</si>
  <si>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</si>
  <si>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</si>
  <si>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</si>
  <si>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</si>
  <si>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</si>
  <si>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</si>
  <si>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</si>
  <si>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</si>
  <si>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</si>
  <si>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</si>
  <si>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</si>
  <si>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</si>
  <si>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</si>
  <si>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</si>
  <si>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</si>
  <si>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</si>
  <si>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</si>
  <si>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</si>
  <si>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</si>
  <si>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</si>
  <si>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</si>
  <si>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</si>
  <si>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</si>
  <si>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</si>
  <si>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</si>
  <si>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</si>
  <si>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</si>
  <si>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</si>
  <si>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</si>
  <si>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</si>
  <si>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</si>
  <si>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</si>
  <si>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</si>
  <si>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</si>
  <si>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</si>
  <si>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</si>
  <si>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</si>
  <si>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</si>
  <si>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</si>
  <si>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</si>
  <si>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</si>
  <si>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</si>
  <si>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</si>
  <si>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</si>
  <si>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</si>
  <si>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</si>
  <si>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</si>
  <si>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</si>
  <si>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</si>
  <si>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</si>
  <si>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</si>
  <si>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</si>
  <si>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</si>
  <si>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</si>
  <si>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</si>
  <si>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</si>
  <si>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</si>
  <si>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</si>
  <si>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</si>
  <si>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</si>
  <si>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</si>
  <si>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</si>
  <si>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</si>
  <si>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</si>
  <si>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</si>
  <si>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</si>
  <si>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</si>
  <si>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</si>
  <si>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</si>
  <si>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</si>
  <si>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</si>
  <si>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</si>
  <si>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</si>
  <si>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</si>
  <si>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</si>
  <si>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</si>
  <si>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</si>
  <si>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</si>
  <si>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</si>
  <si>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</si>
  <si>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</si>
  <si>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</si>
  <si>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</si>
  <si>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</si>
  <si>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</si>
  <si>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</si>
  <si>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</si>
  <si>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</si>
  <si>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</si>
  <si>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</si>
  <si>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</si>
  <si>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</si>
  <si>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</si>
  <si>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</si>
  <si>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</si>
  <si>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</si>
  <si>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</si>
  <si>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</si>
  <si>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</si>
  <si>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</si>
  <si>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</si>
  <si>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</si>
  <si>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</si>
  <si>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</si>
  <si>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</si>
  <si>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</si>
  <si>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</si>
  <si>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</si>
  <si>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</si>
  <si>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</si>
  <si>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</si>
  <si>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</si>
  <si>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</si>
  <si>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</si>
  <si>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</si>
  <si>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</si>
  <si>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</si>
  <si>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</si>
  <si>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</si>
  <si>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</si>
  <si>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</si>
  <si>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</si>
  <si>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</si>
  <si>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</si>
  <si>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</si>
  <si>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</si>
  <si>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</si>
  <si>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</si>
  <si>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</si>
  <si>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</si>
  <si>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</si>
  <si>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</si>
  <si>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</si>
  <si>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</si>
  <si>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</si>
  <si>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</si>
  <si>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</si>
  <si>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</si>
  <si>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</si>
  <si>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</si>
  <si>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</si>
  <si>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</si>
  <si>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</si>
  <si>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</si>
  <si>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</si>
  <si>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</si>
  <si>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</si>
  <si>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</si>
  <si>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</si>
  <si>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</si>
  <si>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</si>
  <si>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</si>
  <si>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</si>
  <si>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</si>
  <si>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</si>
  <si>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</si>
  <si>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</si>
  <si>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</si>
  <si>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</si>
  <si>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</si>
  <si>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</si>
  <si>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</si>
  <si>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</si>
  <si>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</si>
  <si>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</si>
  <si>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</si>
  <si>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</si>
  <si>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</si>
  <si>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</si>
  <si>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</si>
  <si>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</si>
  <si>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</si>
  <si>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</si>
  <si>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</si>
  <si>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</si>
  <si>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</si>
  <si>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</si>
  <si>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</si>
  <si>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</si>
  <si>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</si>
  <si>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</si>
  <si>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</si>
  <si>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</si>
  <si>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</si>
  <si>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</si>
  <si>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</si>
  <si>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</si>
  <si>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</si>
  <si>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</si>
  <si>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</si>
  <si>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</si>
  <si>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</si>
  <si>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</si>
  <si>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</si>
  <si>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</si>
  <si>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</si>
  <si>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</si>
  <si>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</si>
  <si>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</si>
  <si>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</si>
  <si>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</si>
  <si>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</si>
  <si>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</si>
  <si>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</si>
  <si>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</si>
  <si>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</si>
  <si>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</si>
  <si>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</si>
  <si>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</si>
  <si>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</si>
  <si>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</si>
  <si>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</si>
  <si>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</si>
  <si>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</si>
  <si>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</si>
  <si>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</si>
  <si>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</si>
  <si>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</si>
  <si>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</si>
  <si>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</si>
  <si>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</si>
  <si>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</si>
  <si>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</si>
  <si>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</si>
  <si>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</si>
  <si>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</si>
  <si>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</si>
  <si>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</si>
  <si>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</si>
  <si>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</si>
  <si>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</si>
  <si>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</si>
  <si>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</si>
  <si>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</si>
  <si>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</si>
  <si>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</si>
  <si>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</si>
  <si>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</si>
  <si>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</si>
  <si>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</si>
  <si>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</si>
  <si>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</si>
  <si>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</si>
  <si>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</si>
  <si>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</si>
  <si>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</si>
  <si>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</si>
  <si>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</si>
  <si>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</si>
  <si>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</si>
  <si>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</si>
  <si>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</si>
  <si>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</si>
  <si>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</si>
  <si>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</si>
  <si>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</si>
  <si>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</si>
  <si>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</si>
  <si>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</si>
  <si>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</si>
  <si>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</si>
  <si>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</si>
  <si>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</si>
  <si>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</si>
  <si>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</si>
  <si>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</si>
  <si>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</si>
  <si>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</si>
  <si>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</si>
  <si>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</si>
  <si>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</si>
  <si>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</si>
  <si>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</si>
  <si>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</si>
  <si>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</si>
  <si>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</si>
  <si>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</si>
  <si>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</si>
  <si>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</si>
  <si>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</si>
  <si>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</si>
  <si>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</si>
  <si>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</si>
  <si>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</si>
  <si>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</si>
  <si>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</si>
  <si>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</si>
  <si>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</si>
  <si>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</si>
  <si>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</si>
  <si>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</si>
  <si>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</si>
  <si>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</si>
  <si>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</si>
  <si>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</si>
  <si>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</si>
  <si>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</si>
  <si>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</si>
  <si>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</si>
  <si>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</si>
  <si>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</si>
  <si>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</si>
  <si>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</si>
  <si>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</si>
  <si>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</si>
  <si>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</si>
  <si>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</si>
  <si>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</si>
  <si>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</si>
  <si>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</si>
  <si>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</si>
  <si>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</si>
  <si>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</si>
  <si>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</si>
  <si>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</si>
  <si>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</si>
  <si>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</si>
  <si>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</si>
  <si>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</si>
  <si>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</si>
  <si>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</si>
  <si>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</si>
  <si>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</si>
  <si>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</si>
  <si>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</si>
  <si>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</si>
  <si>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</si>
  <si>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</si>
  <si>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</si>
  <si>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</si>
  <si>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</si>
  <si>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</si>
  <si>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</si>
  <si>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</si>
  <si>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</si>
  <si>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</si>
  <si>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</si>
  <si>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</si>
  <si>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</si>
  <si>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</si>
  <si>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</si>
  <si>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</si>
  <si>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</si>
  <si>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</si>
  <si>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</si>
  <si>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</si>
  <si>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</si>
  <si>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</si>
  <si>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</si>
  <si>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</si>
  <si>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</si>
  <si>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</si>
  <si>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</si>
  <si>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</si>
  <si>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</si>
  <si>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</si>
  <si>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</si>
  <si>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</si>
  <si>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</si>
  <si>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</si>
  <si>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</si>
  <si>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</si>
  <si>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</si>
  <si>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</si>
  <si>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</si>
  <si>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</si>
  <si>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</si>
  <si>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</si>
  <si>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</si>
  <si>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</si>
  <si>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</si>
  <si>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</si>
  <si>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</si>
  <si>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</si>
  <si>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</si>
  <si>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</si>
  <si>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</si>
  <si>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</si>
  <si>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</si>
  <si>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</si>
  <si>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</si>
  <si>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</si>
  <si>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</si>
  <si>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</si>
  <si>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</si>
  <si>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</si>
  <si>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</si>
  <si>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</si>
  <si>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</si>
  <si>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</si>
  <si>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</si>
  <si>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</si>
  <si>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</si>
  <si>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</si>
  <si>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</si>
  <si>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</si>
  <si>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</si>
  <si>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</si>
  <si>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</si>
  <si>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</si>
  <si>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</si>
  <si>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</si>
  <si>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</si>
  <si>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</si>
  <si>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</si>
  <si>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</si>
  <si>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</si>
  <si>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</si>
  <si>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</si>
  <si>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</si>
  <si>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</si>
  <si>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</si>
  <si>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</si>
  <si>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</si>
  <si>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</si>
  <si>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</si>
  <si>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</si>
  <si>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</si>
  <si>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</si>
  <si>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</si>
  <si>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</si>
  <si>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</si>
  <si>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</si>
  <si>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</si>
  <si>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</si>
  <si>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</si>
  <si>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</si>
  <si>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</si>
  <si>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</si>
  <si>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</si>
  <si>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</si>
  <si>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</si>
  <si>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</si>
  <si>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</si>
  <si>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</si>
  <si>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</si>
  <si>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</si>
  <si>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</si>
  <si>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</si>
  <si>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</si>
  <si>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</si>
  <si>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</si>
  <si>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</si>
  <si>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</si>
  <si>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</si>
  <si>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</si>
  <si>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</si>
  <si>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</si>
  <si>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</si>
  <si>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</si>
  <si>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</si>
  <si>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</si>
  <si>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</si>
  <si>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</si>
  <si>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</si>
  <si>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</si>
  <si>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</si>
  <si>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</si>
  <si>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</si>
  <si>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</si>
  <si>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</si>
  <si>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</si>
  <si>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</si>
  <si>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</si>
  <si>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</si>
  <si>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</si>
  <si>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</si>
  <si>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</si>
  <si>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</si>
  <si>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</si>
  <si>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</si>
  <si>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</si>
  <si>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</si>
  <si>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</si>
  <si>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</si>
  <si>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</si>
  <si>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</si>
  <si>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</si>
  <si>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</si>
  <si>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</si>
  <si>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</si>
  <si>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</si>
  <si>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</si>
  <si>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</si>
  <si>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</si>
  <si>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</si>
  <si>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</si>
  <si>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</si>
  <si>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</si>
  <si>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</si>
  <si>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</si>
  <si>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</si>
  <si>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</si>
  <si>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</si>
  <si>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</si>
  <si>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</si>
  <si>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</si>
  <si>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</si>
  <si>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</si>
  <si>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</si>
  <si>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</si>
  <si>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</si>
  <si>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</si>
  <si>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</si>
  <si>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</si>
  <si>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</si>
  <si>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</si>
  <si>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</si>
  <si>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</si>
  <si>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</si>
  <si>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</si>
  <si>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</si>
  <si>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</si>
  <si>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</si>
  <si>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</si>
  <si>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</si>
  <si>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</si>
  <si>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</si>
  <si>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</si>
  <si>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</si>
  <si>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</si>
  <si>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</si>
  <si>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</si>
  <si>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</si>
  <si>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</si>
  <si>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</si>
  <si>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</si>
  <si>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</si>
  <si>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</si>
  <si>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</si>
  <si>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</si>
  <si>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</si>
  <si>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</si>
  <si>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</si>
  <si>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</si>
  <si>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</si>
  <si>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</si>
  <si>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</si>
  <si>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</si>
  <si>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</si>
  <si>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</si>
  <si>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</si>
  <si>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</si>
  <si>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</si>
  <si>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</si>
  <si>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</si>
  <si>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</si>
  <si>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</si>
  <si>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</si>
  <si>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</si>
  <si>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</si>
  <si>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</si>
  <si>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</si>
  <si>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</si>
  <si>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</si>
  <si>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</si>
  <si>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</si>
  <si>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</si>
  <si>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</si>
  <si>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</si>
  <si>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</si>
  <si>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</si>
  <si>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</si>
  <si>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</si>
  <si>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</si>
  <si>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</si>
  <si>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</si>
  <si>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</si>
  <si>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</si>
  <si>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</si>
  <si>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</si>
  <si>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</si>
  <si>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</si>
  <si>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</si>
  <si>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</si>
  <si>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</si>
  <si>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</si>
  <si>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</si>
  <si>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</si>
  <si>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</si>
  <si>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</si>
  <si>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</si>
  <si>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</si>
  <si>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</si>
  <si>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</si>
  <si>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</si>
  <si>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</si>
  <si>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</si>
  <si>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</si>
  <si>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</si>
  <si>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</si>
  <si>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</si>
  <si>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</si>
  <si>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</si>
  <si>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</si>
  <si>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</si>
  <si>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</si>
  <si>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</si>
  <si>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</si>
  <si>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</si>
  <si>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</si>
  <si>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</si>
  <si>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</si>
  <si>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</si>
  <si>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</si>
  <si>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</si>
  <si>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</si>
  <si>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</si>
  <si>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</si>
  <si>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</si>
  <si>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</si>
  <si>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</si>
  <si>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</si>
  <si>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</si>
  <si>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</si>
  <si>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</si>
  <si>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</si>
  <si>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</si>
  <si>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</si>
  <si>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</si>
  <si>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</si>
  <si>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</si>
  <si>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</si>
  <si>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</si>
  <si>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</si>
  <si>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</si>
  <si>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</si>
  <si>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</si>
  <si>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</si>
  <si>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</si>
  <si>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</si>
  <si>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</si>
  <si>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</si>
  <si>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</si>
  <si>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</si>
  <si>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</si>
  <si>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</si>
  <si>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</si>
  <si>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</si>
  <si>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</si>
  <si>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</si>
  <si>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</si>
  <si>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</si>
  <si>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</si>
  <si>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</si>
  <si>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</si>
  <si>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</si>
  <si>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</si>
  <si>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</si>
  <si>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</si>
  <si>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</si>
  <si>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</si>
  <si>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</si>
  <si>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</si>
  <si>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</si>
  <si>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</si>
  <si>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</si>
  <si>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</si>
  <si>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</si>
  <si>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</si>
  <si>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</si>
  <si>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</si>
  <si>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</si>
  <si>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</si>
  <si>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</si>
  <si>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</si>
  <si>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</si>
  <si>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</si>
  <si>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</si>
  <si>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</si>
  <si>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</si>
  <si>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</si>
  <si>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</si>
  <si>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</si>
  <si>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</si>
  <si>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</si>
  <si>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</si>
  <si>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</si>
  <si>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</si>
  <si>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</si>
  <si>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</si>
  <si>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</si>
  <si>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</si>
  <si>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</si>
  <si>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</si>
  <si>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</si>
  <si>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</si>
  <si>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</si>
  <si>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</si>
  <si>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</si>
  <si>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</si>
  <si>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</si>
  <si>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</si>
  <si>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</si>
  <si>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</si>
  <si>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</si>
  <si>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</si>
  <si>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</si>
  <si>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</si>
  <si>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</si>
  <si>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</si>
  <si>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</si>
  <si>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</si>
  <si>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</si>
  <si>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</si>
  <si>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</si>
  <si>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</si>
  <si>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</si>
  <si>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</si>
  <si>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</si>
  <si>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</si>
  <si>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</si>
  <si>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</si>
  <si>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</si>
  <si>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</si>
  <si>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</si>
  <si>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</si>
  <si>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</si>
  <si>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</si>
  <si>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</si>
  <si>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</si>
  <si>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</si>
  <si>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</si>
  <si>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</si>
  <si>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</si>
  <si>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</si>
  <si>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</si>
  <si>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</si>
  <si>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</si>
  <si>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</si>
  <si>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</si>
  <si>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</si>
  <si>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</si>
  <si>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</si>
  <si>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</si>
  <si>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</si>
  <si>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</si>
  <si>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</si>
  <si>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</si>
  <si>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</si>
  <si>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</si>
  <si>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</si>
  <si>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</si>
  <si>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</si>
  <si>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</si>
  <si>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</si>
  <si>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</si>
  <si>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</si>
  <si>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</si>
  <si>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</si>
  <si>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</si>
  <si>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</si>
  <si>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</si>
  <si>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</si>
  <si>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</si>
  <si>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</si>
  <si>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</si>
  <si>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</si>
  <si>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</si>
  <si>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</si>
  <si>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</si>
  <si>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</si>
  <si>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</si>
  <si>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</si>
  <si>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</si>
  <si>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</si>
  <si>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</si>
  <si>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</si>
  <si>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</si>
  <si>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</si>
  <si>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</si>
  <si>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</si>
  <si>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</si>
  <si>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</si>
  <si>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</si>
  <si>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</si>
  <si>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</si>
  <si>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</si>
  <si>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</si>
  <si>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</si>
  <si>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</si>
  <si>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</si>
  <si>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</si>
  <si>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</si>
  <si>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</si>
  <si>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</si>
  <si>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</si>
  <si>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</si>
  <si>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</si>
  <si>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</si>
  <si>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</si>
  <si>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</si>
  <si>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</si>
  <si>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</si>
  <si>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</si>
  <si>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</si>
  <si>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</si>
  <si>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</si>
  <si>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</si>
  <si>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</si>
  <si>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</si>
  <si>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</si>
  <si>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</si>
  <si>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</si>
  <si>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</si>
  <si>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</si>
  <si>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</si>
  <si>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</si>
  <si>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</si>
  <si>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</si>
  <si>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</si>
  <si>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</si>
  <si>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</si>
  <si>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</si>
  <si>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</si>
  <si>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</si>
  <si>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</si>
  <si>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</si>
  <si>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</si>
  <si>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</si>
  <si>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</si>
  <si>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</si>
  <si>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</si>
  <si>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</si>
  <si>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</si>
  <si>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</si>
  <si>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</si>
  <si>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</si>
  <si>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</si>
  <si>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</si>
  <si>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</si>
  <si>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</si>
  <si>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</si>
  <si>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</si>
  <si>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</si>
  <si>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</si>
  <si>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</si>
  <si>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</si>
  <si>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</si>
  <si>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</si>
  <si>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</si>
  <si>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</si>
  <si>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</si>
  <si>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</si>
  <si>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</si>
  <si>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</si>
  <si>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</si>
  <si>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</si>
  <si>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</si>
  <si>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</si>
  <si>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</si>
  <si>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</si>
  <si>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</si>
  <si>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</si>
  <si>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</si>
  <si>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</si>
  <si>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</si>
  <si>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</si>
  <si>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</si>
  <si>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</si>
  <si>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</si>
  <si>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</si>
  <si>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</si>
  <si>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</si>
  <si>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</si>
  <si>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</si>
  <si>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</si>
  <si>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</si>
  <si>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</si>
  <si>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</si>
  <si>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</si>
  <si>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</si>
  <si>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</si>
  <si>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</si>
  <si>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</si>
  <si>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</si>
  <si>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</si>
  <si>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</si>
  <si>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</si>
  <si>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</si>
  <si>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</si>
  <si>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</si>
  <si>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</si>
  <si>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</si>
  <si>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</si>
  <si>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</si>
  <si>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</si>
  <si>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</si>
  <si>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</si>
  <si>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</si>
  <si>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</si>
  <si>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</si>
  <si>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</si>
  <si>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</si>
  <si>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</si>
  <si>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</si>
  <si>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</si>
  <si>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</si>
  <si>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</si>
  <si>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</si>
  <si>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</si>
  <si>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</si>
  <si>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</si>
  <si>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</si>
  <si>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</si>
  <si>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</si>
  <si>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</si>
  <si>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</si>
  <si>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</si>
  <si>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</si>
  <si>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</si>
  <si>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</si>
  <si>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</si>
  <si>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</si>
  <si>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</si>
  <si>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</si>
  <si>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</si>
  <si>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</si>
  <si>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</si>
  <si>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</si>
  <si>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</si>
  <si>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</si>
  <si>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</si>
  <si>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</si>
  <si>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</si>
  <si>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</si>
  <si>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</si>
  <si>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</si>
  <si>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</si>
  <si>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</si>
  <si>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</si>
  <si>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</si>
  <si>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</si>
  <si>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</si>
  <si>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</si>
  <si>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</si>
  <si>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</si>
  <si>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</si>
  <si>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</si>
  <si>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</si>
  <si>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</si>
  <si>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</si>
  <si>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</si>
  <si>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</si>
  <si>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</si>
  <si>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</si>
  <si>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</si>
  <si>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</si>
  <si>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</si>
  <si>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</si>
  <si>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</si>
  <si>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</si>
  <si>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</si>
  <si>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</si>
  <si>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</si>
  <si>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</si>
  <si>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</si>
  <si>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</si>
  <si>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</si>
  <si>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</si>
  <si>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</si>
  <si>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</si>
  <si>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</si>
  <si>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</si>
  <si>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</si>
  <si>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</si>
  <si>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</si>
  <si>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</si>
  <si>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</si>
  <si>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</si>
  <si>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</si>
  <si>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</si>
  <si>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</si>
  <si>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</si>
  <si>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</si>
  <si>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</si>
  <si>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</si>
  <si>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</si>
  <si>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</si>
  <si>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</si>
  <si>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</si>
  <si>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</si>
  <si>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</si>
  <si>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</si>
  <si>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</si>
  <si>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</si>
  <si>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</si>
  <si>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</si>
  <si>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</si>
  <si>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</si>
  <si>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</si>
  <si>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</si>
  <si>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</si>
  <si>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</si>
  <si>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</si>
  <si>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</si>
  <si>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</si>
  <si>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</si>
  <si>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</si>
  <si>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</si>
  <si>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</si>
  <si>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</si>
  <si>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</si>
  <si>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</si>
  <si>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</si>
  <si>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</si>
  <si>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</si>
  <si>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</si>
  <si>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</si>
  <si>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</si>
  <si>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</si>
  <si>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</si>
  <si>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</si>
  <si>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</si>
  <si>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</si>
  <si>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</si>
  <si>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</si>
  <si>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</si>
  <si>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</si>
  <si>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</si>
  <si>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</si>
  <si>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</si>
  <si>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</si>
  <si>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</si>
  <si>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</si>
  <si>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</si>
  <si>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</si>
  <si>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</si>
  <si>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</si>
  <si>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</si>
  <si>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</si>
  <si>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</si>
  <si>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</si>
  <si>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</si>
  <si>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</si>
  <si>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</si>
  <si>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</si>
  <si>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</si>
  <si>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</si>
  <si>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</si>
  <si>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</si>
  <si>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</si>
  <si>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</si>
  <si>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</si>
  <si>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</si>
  <si>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</si>
  <si>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</si>
  <si>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</si>
  <si>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</si>
  <si>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</si>
  <si>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</si>
  <si>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</si>
  <si>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</si>
  <si>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</si>
  <si>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</si>
  <si>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</si>
  <si>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</si>
  <si>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</si>
  <si>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</si>
  <si>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</si>
  <si>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</si>
  <si>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</si>
  <si>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</si>
  <si>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</si>
  <si>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</si>
  <si>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</si>
  <si>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</si>
  <si>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</si>
  <si>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</si>
  <si>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</si>
  <si>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</si>
  <si>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</si>
  <si>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</si>
  <si>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</si>
  <si>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</si>
  <si>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</si>
  <si>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</si>
  <si>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</si>
  <si>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</si>
  <si>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</si>
  <si>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</si>
  <si>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</si>
  <si>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</si>
  <si>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</si>
  <si>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</si>
  <si>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</si>
  <si>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</si>
  <si>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</si>
  <si>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</si>
  <si>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</si>
  <si>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</si>
  <si>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</si>
  <si>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</si>
  <si>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20/4/97</t>
  </si>
  <si>
    <t>10/11/1397</t>
  </si>
  <si>
    <t>خرید از شهروند و عابربانک 10/11</t>
  </si>
  <si>
    <t>عابر بانک و خرید شهروند</t>
  </si>
  <si>
    <t>12/11/1397</t>
  </si>
  <si>
    <t>خرید 12/11 از کارت سارا</t>
  </si>
  <si>
    <t>13/11/1397</t>
  </si>
  <si>
    <t>شاراک 695 تا 502.3</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</si>
  <si>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</si>
  <si>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</si>
  <si>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</si>
  <si>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</si>
  <si>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</si>
  <si>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</si>
  <si>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</si>
  <si>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</si>
  <si>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</si>
  <si>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</si>
  <si>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</si>
  <si>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</si>
  <si>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</si>
  <si>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</si>
  <si>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</si>
  <si>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</si>
  <si>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</si>
  <si>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</si>
  <si>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</si>
  <si>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</si>
  <si>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</si>
  <si>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</si>
  <si>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</si>
  <si>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</si>
  <si>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</si>
  <si>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</si>
  <si>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</si>
  <si>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</si>
  <si>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</si>
  <si>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</si>
  <si>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</si>
  <si>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</si>
  <si>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</si>
  <si>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</si>
  <si>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</si>
  <si>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</si>
  <si>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</si>
  <si>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</si>
  <si>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</si>
  <si>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</si>
  <si>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</si>
  <si>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</si>
  <si>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</si>
  <si>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</si>
  <si>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</si>
  <si>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</si>
  <si>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</si>
  <si>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</si>
  <si>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</si>
  <si>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</si>
  <si>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</si>
  <si>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</si>
  <si>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</si>
  <si>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</si>
  <si>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</si>
  <si>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</si>
  <si>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</si>
  <si>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</si>
  <si>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</si>
  <si>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</si>
  <si>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</si>
  <si>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</si>
  <si>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</si>
  <si>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</si>
  <si>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</si>
  <si>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</si>
  <si>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</si>
  <si>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</si>
  <si>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</si>
  <si>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</si>
  <si>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</si>
  <si>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</si>
  <si>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</si>
  <si>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</si>
  <si>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</si>
  <si>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</si>
  <si>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</si>
  <si>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</si>
  <si>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</si>
  <si>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</si>
  <si>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</si>
  <si>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</si>
  <si>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</si>
  <si>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</si>
  <si>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</si>
  <si>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</si>
  <si>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</si>
  <si>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</si>
  <si>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</si>
  <si>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</si>
  <si>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</si>
  <si>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</si>
  <si>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</si>
  <si>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</si>
  <si>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</si>
  <si>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</si>
  <si>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</si>
  <si>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</si>
  <si>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</si>
  <si>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</si>
  <si>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</si>
  <si>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</si>
  <si>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</si>
  <si>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</si>
  <si>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</si>
  <si>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</si>
  <si>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</si>
  <si>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</si>
  <si>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</si>
  <si>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</si>
  <si>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</si>
  <si>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</si>
  <si>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</si>
  <si>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</si>
  <si>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</si>
  <si>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</si>
  <si>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</si>
  <si>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</si>
  <si>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</si>
  <si>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</si>
  <si>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</si>
  <si>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</si>
  <si>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</si>
  <si>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</si>
  <si>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</si>
  <si>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</si>
  <si>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</si>
  <si>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</si>
  <si>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</si>
  <si>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</si>
  <si>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</si>
  <si>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</si>
  <si>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</si>
  <si>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</si>
  <si>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</si>
  <si>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</si>
  <si>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</si>
  <si>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</si>
  <si>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</si>
  <si>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</si>
  <si>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</si>
  <si>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</si>
  <si>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</si>
  <si>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</si>
  <si>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</si>
  <si>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</si>
  <si>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</si>
  <si>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</si>
  <si>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</si>
  <si>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</si>
  <si>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</si>
  <si>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</si>
  <si>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</si>
  <si>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</si>
  <si>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</si>
  <si>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</si>
  <si>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</si>
  <si>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</si>
  <si>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</si>
  <si>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</si>
  <si>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</si>
  <si>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</si>
  <si>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</si>
  <si>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</si>
  <si>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</si>
  <si>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</si>
  <si>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</si>
  <si>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</si>
  <si>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</si>
  <si>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</si>
  <si>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</si>
  <si>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</si>
  <si>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</si>
  <si>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</si>
  <si>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</si>
  <si>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</si>
  <si>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</si>
  <si>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</si>
  <si>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</si>
  <si>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</si>
  <si>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</si>
  <si>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</si>
  <si>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</si>
  <si>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</si>
  <si>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</si>
  <si>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</si>
  <si>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</si>
  <si>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</si>
  <si>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</si>
  <si>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</si>
  <si>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</si>
  <si>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</si>
  <si>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</si>
  <si>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</si>
  <si>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</si>
  <si>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</si>
  <si>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</si>
  <si>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</si>
  <si>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</si>
  <si>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</si>
  <si>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</si>
  <si>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</si>
  <si>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</si>
  <si>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</si>
  <si>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</si>
  <si>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</si>
  <si>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</si>
  <si>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</si>
  <si>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</si>
  <si>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</si>
  <si>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</si>
  <si>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</si>
  <si>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</si>
  <si>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</si>
  <si>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</si>
  <si>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</si>
  <si>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</si>
  <si>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</si>
  <si>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</si>
  <si>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</si>
  <si>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</si>
  <si>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</si>
  <si>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</si>
  <si>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</si>
  <si>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</si>
  <si>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</si>
  <si>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</si>
  <si>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</si>
  <si>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</si>
  <si>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</si>
  <si>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</si>
  <si>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</si>
  <si>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</si>
  <si>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</si>
  <si>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</si>
  <si>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</si>
  <si>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</si>
  <si>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</si>
  <si>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</si>
  <si>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</si>
  <si>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</si>
  <si>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</si>
  <si>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</si>
  <si>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</si>
  <si>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</si>
  <si>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</si>
  <si>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</si>
  <si>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</si>
  <si>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</si>
  <si>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</si>
  <si>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</si>
  <si>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</si>
  <si>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</si>
  <si>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</si>
  <si>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</si>
  <si>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</si>
  <si>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</si>
  <si>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</si>
  <si>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</si>
  <si>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</si>
  <si>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</si>
  <si>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</si>
  <si>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</si>
  <si>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</si>
  <si>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</si>
  <si>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</si>
  <si>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</si>
  <si>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</si>
  <si>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</si>
  <si>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</si>
  <si>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</si>
  <si>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</si>
  <si>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</si>
  <si>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</si>
  <si>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</si>
  <si>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</si>
  <si>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</si>
  <si>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</si>
  <si>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</si>
  <si>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</si>
  <si>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</si>
  <si>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</si>
  <si>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</si>
  <si>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</si>
  <si>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</si>
  <si>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</si>
  <si>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</si>
  <si>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</si>
  <si>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</si>
  <si>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</si>
  <si>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</si>
  <si>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</si>
  <si>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</si>
  <si>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</si>
  <si>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</si>
  <si>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</si>
  <si>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</si>
  <si>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</si>
  <si>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</si>
  <si>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</si>
  <si>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</si>
  <si>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</si>
  <si>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</si>
  <si>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</si>
  <si>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</si>
  <si>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</si>
  <si>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</si>
  <si>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</si>
  <si>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</si>
  <si>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</si>
  <si>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</si>
  <si>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</si>
  <si>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</si>
  <si>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</si>
  <si>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</si>
  <si>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</si>
  <si>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</si>
  <si>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</si>
  <si>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</si>
  <si>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</si>
  <si>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</si>
  <si>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</si>
  <si>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</si>
  <si>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</si>
  <si>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</si>
  <si>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</si>
  <si>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</si>
  <si>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</si>
  <si>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</si>
  <si>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</si>
  <si>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</si>
  <si>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</si>
  <si>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</si>
  <si>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</si>
  <si>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</si>
  <si>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</si>
  <si>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</si>
  <si>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</si>
  <si>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</si>
  <si>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</si>
  <si>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</si>
  <si>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</si>
  <si>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</si>
  <si>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</si>
  <si>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</si>
  <si>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</si>
  <si>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</si>
  <si>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</si>
  <si>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</si>
  <si>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</si>
  <si>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</si>
  <si>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</si>
  <si>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</si>
  <si>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</si>
  <si>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</si>
  <si>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</si>
  <si>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</si>
  <si>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</si>
  <si>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</si>
  <si>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</si>
  <si>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</si>
  <si>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</si>
  <si>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</si>
  <si>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</si>
  <si>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</si>
  <si>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</si>
  <si>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</si>
  <si>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</si>
  <si>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</si>
  <si>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</si>
  <si>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</si>
  <si>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</si>
  <si>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</si>
  <si>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</si>
  <si>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</si>
  <si>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</si>
  <si>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</si>
  <si>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</si>
  <si>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</si>
  <si>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480 تا 213.3</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</si>
  <si>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</si>
  <si>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</si>
  <si>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</si>
  <si>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</si>
  <si>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</si>
  <si>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</si>
  <si>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</si>
  <si>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</si>
  <si>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</si>
  <si>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</si>
  <si>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</si>
  <si>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</si>
  <si>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</si>
  <si>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</si>
  <si>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</si>
  <si>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</si>
  <si>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</si>
  <si>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</si>
  <si>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</si>
  <si>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</si>
  <si>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</si>
  <si>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</si>
  <si>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</si>
  <si>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</si>
  <si>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</si>
  <si>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</si>
  <si>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</si>
  <si>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</si>
  <si>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</si>
  <si>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وغدیر 98414 تا 234</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</si>
  <si>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</si>
  <si>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</si>
  <si>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</si>
  <si>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</si>
  <si>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</si>
  <si>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</si>
  <si>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</si>
  <si>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</si>
  <si>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</si>
  <si>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</si>
  <si>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</si>
  <si>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</si>
  <si>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</si>
  <si>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</si>
  <si>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</si>
  <si>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</si>
  <si>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</si>
  <si>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</si>
  <si>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</si>
  <si>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</si>
  <si>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</si>
  <si>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</si>
  <si>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</si>
  <si>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</si>
  <si>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</si>
  <si>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</si>
  <si>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</si>
  <si>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</si>
  <si>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</si>
  <si>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</si>
  <si>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</si>
  <si>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</si>
  <si>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</si>
  <si>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</si>
  <si>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</si>
  <si>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</si>
  <si>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</si>
  <si>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</si>
  <si>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</si>
  <si>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</si>
  <si>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</si>
  <si>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</si>
  <si>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</si>
  <si>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</si>
  <si>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</si>
  <si>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</si>
  <si>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</si>
  <si>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</si>
  <si>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</si>
  <si>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</si>
  <si>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</si>
  <si>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</si>
  <si>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</si>
  <si>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</si>
  <si>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</si>
  <si>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</si>
  <si>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</si>
  <si>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</si>
  <si>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</si>
  <si>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</si>
  <si>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</si>
  <si>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</si>
  <si>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</si>
  <si>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</si>
  <si>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</si>
  <si>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</si>
  <si>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</si>
  <si>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</si>
  <si>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</si>
  <si>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</si>
  <si>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</si>
  <si>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</si>
  <si>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</si>
  <si>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</si>
  <si>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</si>
  <si>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</si>
  <si>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</si>
  <si>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</si>
  <si>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</si>
  <si>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</si>
  <si>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</si>
  <si>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</si>
  <si>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</si>
  <si>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</si>
  <si>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</si>
  <si>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</si>
  <si>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</si>
  <si>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</si>
  <si>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</si>
  <si>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</si>
  <si>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</si>
  <si>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</si>
  <si>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</si>
  <si>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</si>
  <si>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</si>
  <si>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</si>
  <si>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</si>
  <si>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</si>
  <si>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</si>
  <si>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</si>
  <si>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</si>
  <si>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</si>
  <si>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</si>
  <si>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</si>
  <si>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</si>
  <si>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</si>
  <si>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</si>
  <si>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</si>
  <si>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</si>
  <si>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</si>
  <si>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</si>
  <si>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</si>
  <si>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</si>
  <si>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</si>
  <si>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</si>
  <si>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</si>
  <si>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</si>
  <si>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</si>
  <si>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</si>
  <si>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</si>
  <si>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</si>
  <si>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</si>
  <si>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</si>
  <si>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</si>
  <si>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</si>
  <si>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</si>
  <si>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</si>
  <si>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</si>
  <si>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</si>
  <si>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</si>
  <si>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</si>
  <si>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</si>
  <si>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</si>
  <si>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</si>
  <si>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</si>
  <si>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</si>
  <si>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</si>
  <si>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</si>
  <si>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</si>
  <si>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</si>
  <si>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</si>
  <si>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</si>
  <si>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</si>
  <si>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</si>
  <si>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</si>
  <si>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</si>
  <si>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</si>
  <si>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</si>
  <si>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</si>
  <si>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</si>
  <si>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</si>
  <si>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</si>
  <si>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</si>
  <si>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</si>
  <si>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</si>
  <si>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</si>
  <si>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</si>
  <si>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</si>
  <si>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</si>
  <si>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</si>
  <si>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</si>
  <si>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</si>
  <si>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</si>
  <si>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</si>
  <si>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</si>
  <si>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</si>
  <si>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</si>
  <si>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</si>
  <si>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</si>
  <si>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</si>
  <si>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</si>
  <si>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</si>
  <si>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</si>
  <si>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</si>
  <si>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</si>
  <si>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</si>
  <si>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</si>
  <si>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</si>
  <si>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</si>
  <si>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</si>
  <si>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</si>
  <si>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</si>
  <si>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</si>
  <si>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</si>
  <si>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</si>
  <si>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</si>
  <si>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</si>
  <si>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</si>
  <si>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</si>
  <si>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</si>
  <si>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</si>
  <si>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</si>
  <si>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</si>
  <si>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</si>
  <si>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</si>
  <si>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</si>
  <si>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</si>
  <si>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</si>
  <si>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</si>
  <si>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</si>
  <si>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</si>
  <si>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</si>
  <si>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</si>
  <si>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</si>
  <si>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</si>
  <si>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</si>
  <si>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</si>
  <si>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</si>
  <si>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</si>
  <si>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</si>
  <si>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</si>
  <si>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</si>
  <si>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</si>
  <si>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</si>
  <si>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</si>
  <si>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</si>
  <si>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</si>
  <si>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</si>
  <si>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</si>
  <si>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</si>
  <si>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</si>
  <si>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</si>
  <si>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</si>
  <si>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</si>
  <si>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</si>
  <si>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</si>
  <si>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</si>
  <si>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</si>
  <si>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</si>
  <si>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</si>
  <si>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</si>
  <si>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</si>
  <si>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</si>
  <si>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</si>
  <si>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</si>
  <si>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</si>
  <si>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</si>
  <si>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</si>
  <si>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</si>
  <si>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</si>
  <si>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</si>
  <si>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</si>
  <si>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</si>
  <si>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</si>
  <si>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</si>
  <si>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</si>
  <si>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</si>
  <si>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</si>
  <si>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</si>
  <si>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</si>
  <si>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</si>
  <si>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</si>
  <si>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</si>
  <si>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</si>
  <si>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</si>
  <si>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</si>
  <si>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</si>
  <si>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</si>
  <si>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</si>
  <si>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</si>
  <si>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</si>
  <si>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</si>
  <si>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</si>
  <si>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</si>
  <si>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</si>
  <si>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</si>
  <si>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</si>
  <si>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</si>
  <si>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</si>
  <si>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</si>
  <si>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</si>
  <si>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</si>
  <si>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</si>
  <si>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</si>
  <si>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</si>
  <si>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</si>
  <si>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</si>
  <si>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</si>
  <si>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</si>
  <si>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</si>
  <si>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</si>
  <si>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</si>
  <si>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</si>
  <si>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</si>
  <si>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</si>
  <si>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</si>
  <si>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</si>
  <si>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</si>
  <si>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</si>
  <si>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</si>
  <si>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</si>
  <si>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</si>
  <si>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</si>
  <si>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</si>
  <si>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</si>
  <si>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</si>
  <si>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</si>
  <si>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</si>
  <si>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</si>
  <si>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</si>
  <si>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</si>
  <si>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مادر کاظم (39042 تا وغدیر و 1150 تا زاگرس)</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</si>
  <si>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</si>
  <si>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</si>
  <si>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</si>
  <si>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</si>
  <si>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</si>
  <si>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</si>
  <si>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</si>
  <si>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</si>
  <si>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</si>
  <si>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</si>
  <si>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</si>
  <si>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</si>
  <si>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</si>
  <si>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</si>
  <si>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</si>
  <si>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</si>
  <si>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</si>
  <si>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</si>
  <si>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</si>
  <si>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</si>
  <si>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</si>
  <si>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</si>
  <si>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</si>
  <si>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کلر 38 تا 2950</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</si>
  <si>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</si>
  <si>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</si>
  <si>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</si>
  <si>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</si>
  <si>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</si>
  <si>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</si>
  <si>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</si>
  <si>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</si>
  <si>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</si>
  <si>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ومهان 369 تا 562.5</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</si>
  <si>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</si>
  <si>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</si>
  <si>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</si>
  <si>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</si>
  <si>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</si>
  <si>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</si>
  <si>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</si>
  <si>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</si>
  <si>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</si>
  <si>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</si>
  <si>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</si>
  <si>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</si>
  <si>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</si>
  <si>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</si>
  <si>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</si>
  <si>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</si>
  <si>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</si>
  <si>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 17000 تا 403.8</t>
  </si>
  <si>
    <t>پترول</t>
  </si>
  <si>
    <t>زاگرس 4982 تا 7372.4</t>
  </si>
  <si>
    <t>اصلاح بدهی اعتبار از 19 به 20</t>
  </si>
  <si>
    <t>از ملت علی به ملت مریم 28/11/1398</t>
  </si>
  <si>
    <t>29/11/1398</t>
  </si>
  <si>
    <t>نوسانگیری در حساب مهدی</t>
  </si>
  <si>
    <t>30/3/99</t>
  </si>
  <si>
    <t>22/12/98</t>
  </si>
  <si>
    <t>15/2/1399</t>
  </si>
  <si>
    <t>26/4/1399</t>
  </si>
  <si>
    <t>پول نقد در حساب بورسی</t>
  </si>
  <si>
    <t>30/11/1398</t>
  </si>
  <si>
    <t>قرن</t>
  </si>
  <si>
    <t>تعداد زاگرس</t>
  </si>
  <si>
    <t>قیمت زاگرس</t>
  </si>
  <si>
    <t>قیمت وغدیر</t>
  </si>
  <si>
    <t>نسبت تبدیل قیمتی</t>
  </si>
  <si>
    <t>نسبت قیمت با در نظر گرفتن کارمزد</t>
  </si>
  <si>
    <t>تعداد وغدیر</t>
  </si>
  <si>
    <t>هر چه نسبت کمتر باشد برای تبدیل وغدیر به زاگرس بهتر</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</si>
  <si>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</si>
  <si>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</si>
  <si>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</si>
  <si>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</si>
  <si>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</si>
  <si>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</si>
  <si>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</si>
  <si>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</si>
  <si>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</si>
  <si>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</si>
  <si>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</si>
  <si>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</si>
  <si>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</si>
  <si>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</si>
  <si>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</si>
  <si>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</si>
  <si>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</si>
  <si>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قرن 67 تا 1700</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</si>
  <si>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</si>
  <si>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</si>
  <si>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</si>
  <si>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</si>
  <si>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</si>
  <si>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</si>
  <si>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</si>
  <si>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</si>
  <si>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</si>
  <si>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</si>
  <si>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</si>
  <si>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</si>
  <si>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</si>
  <si>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</si>
  <si>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</si>
  <si>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</si>
  <si>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</si>
  <si>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</si>
  <si>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وغدیر 152521 تا 203.6</t>
  </si>
  <si>
    <t>بدهی علی به حاج خانوم 5/12/98</t>
  </si>
  <si>
    <t>فروش وغدیر</t>
  </si>
  <si>
    <t>خرید وغدیر</t>
  </si>
  <si>
    <t>تعداد وغدیر فروخته شده</t>
  </si>
  <si>
    <t>تعداد وغدیر خریداری شده</t>
  </si>
  <si>
    <t>وغدیر 193958 تا 527.7</t>
  </si>
  <si>
    <t>واریز 3 میلیون حساب علی</t>
  </si>
  <si>
    <t>دریافت 4.19 میلیون حساب مریم و واریز 7 میلیون حساب علی</t>
  </si>
  <si>
    <t>وغدیر 45190 تا 514.2</t>
  </si>
  <si>
    <t xml:space="preserve">علی واریز  میلیون 5 و بقیه نوسانگیری </t>
  </si>
  <si>
    <t>10/12/1398</t>
  </si>
  <si>
    <t>بدهی وام انصار 18 قسط 21/3/1398</t>
  </si>
  <si>
    <t>9/12/1398</t>
  </si>
  <si>
    <t>وغدیر 62644 تا 497.5</t>
  </si>
  <si>
    <t>سارا پول خانه</t>
  </si>
  <si>
    <t>مریم پول خانه</t>
  </si>
  <si>
    <t>11/12/1398</t>
  </si>
  <si>
    <t>12/12/1398</t>
  </si>
  <si>
    <t>دریافت 26 میلیون حساب مریم</t>
  </si>
  <si>
    <t>سارا بابت خرید خانه</t>
  </si>
  <si>
    <t>وغدیر 17905 تا 488.3</t>
  </si>
  <si>
    <t>وغدیر 113152 تا 224</t>
  </si>
  <si>
    <t>بدهی مریم</t>
  </si>
  <si>
    <t>واریز 8.8 میلیون حساب علی دریافت 81.8 میلیون حساب مریم</t>
  </si>
  <si>
    <t>زاگرس 893 تا 7792.9</t>
  </si>
  <si>
    <t>وغدیر 11086 تا 200</t>
  </si>
  <si>
    <t>13/12/1398</t>
  </si>
  <si>
    <t>14/12/1398</t>
  </si>
  <si>
    <t>دریافت 34 میلیون حساب مریم</t>
  </si>
  <si>
    <t>شاراک 14472 تا 525.1</t>
  </si>
  <si>
    <t>سود ایجاد شده تا 12/12/1398</t>
  </si>
  <si>
    <t>زاگرس 543 تا 8086.9</t>
  </si>
  <si>
    <t>وغدیر 4969 تا 520</t>
  </si>
  <si>
    <t>اعتبار علی</t>
  </si>
  <si>
    <t>واریز 40 میلیون اعتبار علی</t>
  </si>
  <si>
    <t>وغدیر 219612 تا 518</t>
  </si>
  <si>
    <t>نوسانگیری علی</t>
  </si>
  <si>
    <t>اعتبار علی (بدهی به کارگزاری 60 میلیون)</t>
  </si>
  <si>
    <t>شصدف</t>
  </si>
  <si>
    <t>تملت</t>
  </si>
  <si>
    <t>شصدف 21 تا 1990</t>
  </si>
  <si>
    <t xml:space="preserve"> شسپا</t>
  </si>
  <si>
    <t>وغدیر 5159 تا 535</t>
  </si>
  <si>
    <t>شاراک 19722 تا 498.9</t>
  </si>
  <si>
    <t>شسپا 14000 تا 1465</t>
  </si>
  <si>
    <t>اعتبار مهدی (بدهی به کارگزاری 100 میلیون)</t>
  </si>
  <si>
    <t>علی واریز و نوسانگیری</t>
  </si>
  <si>
    <t>دستی به مریم و ضرر اضافه کاری 11/12/1398</t>
  </si>
  <si>
    <t>بابت پول خانه مریم اضافه سهام فروختم</t>
  </si>
  <si>
    <t>بدهی به سارا پول زعفران</t>
  </si>
  <si>
    <t>تملت 420 تا 340</t>
  </si>
  <si>
    <t>17/12/1398</t>
  </si>
  <si>
    <t>واریز 1 میلیون حساب مریم</t>
  </si>
  <si>
    <t>شگویا</t>
  </si>
  <si>
    <t>زاگرس 3552 تا 7557.6</t>
  </si>
  <si>
    <t>شگویا 1338 تا 438</t>
  </si>
  <si>
    <t>وغدیر 17937 تا 524.4</t>
  </si>
  <si>
    <t>شاراک 1541 تا 1531.2</t>
  </si>
  <si>
    <t>کیانا</t>
  </si>
  <si>
    <t>19/12/1398</t>
  </si>
  <si>
    <t>وغدیر 1455 تا 500.5</t>
  </si>
  <si>
    <t xml:space="preserve"> v  </t>
  </si>
  <si>
    <t>20/12/1398</t>
  </si>
  <si>
    <t>21/12/1398</t>
  </si>
  <si>
    <t>واریز 400000 تومن حساب علی و 400000 تومن مریم</t>
  </si>
  <si>
    <t>زکوثر</t>
  </si>
  <si>
    <t>ساوه</t>
  </si>
  <si>
    <t>زکوثر 201 تا 1312</t>
  </si>
  <si>
    <t>ساوه 36 تا 2350</t>
  </si>
  <si>
    <t>سارا باقیمانده از خرید خانه</t>
  </si>
  <si>
    <t>سارا باقیمانده خرید خانه</t>
  </si>
  <si>
    <t>بدهی علی به صندوق 21/12/98</t>
  </si>
  <si>
    <t>پترول 22750 تا 394</t>
  </si>
  <si>
    <t>وغدیر 936 تا 500.5</t>
  </si>
  <si>
    <t>وغدیر 898 تا 500.5</t>
  </si>
  <si>
    <t>25/12/1398</t>
  </si>
  <si>
    <t>24/12/1398</t>
  </si>
  <si>
    <t>وغدیر 327 تا 460</t>
  </si>
  <si>
    <t>وغدیر 266 تا 460</t>
  </si>
  <si>
    <t>24/11/1398</t>
  </si>
  <si>
    <t>وغدیر 269 تا 460</t>
  </si>
  <si>
    <t>26/12/1398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</si>
</sst>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3">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0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20"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1" fillId="0" borderId="0" xfId="0" applyFont="1" applyAlignment="1">
      <alignment wrapText="1"/>
    </xf>
    <xf numFmtId="0" fontId="22"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164" fontId="0" fillId="30" borderId="1" xfId="0" applyNumberFormat="1" applyFill="1" applyBorder="1"/>
    <xf numFmtId="3" fontId="0" fillId="0" borderId="0" xfId="0" applyNumberFormat="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5"/>
  <sheetViews>
    <sheetView topLeftCell="A86" workbookViewId="0">
      <selection activeCell="E101" sqref="E101"/>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s>
  <sheetData>
    <row r="1" spans="1:10">
      <c r="A1" s="168" t="s">
        <v>180</v>
      </c>
      <c r="B1" s="168" t="s">
        <v>4524</v>
      </c>
      <c r="C1" s="168" t="s">
        <v>947</v>
      </c>
      <c r="D1" s="168" t="s">
        <v>934</v>
      </c>
      <c r="E1" s="168" t="s">
        <v>4524</v>
      </c>
      <c r="F1" s="168" t="s">
        <v>947</v>
      </c>
      <c r="G1" s="168" t="s">
        <v>934</v>
      </c>
      <c r="H1" s="168" t="s">
        <v>4617</v>
      </c>
      <c r="I1" s="168" t="s">
        <v>4618</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4607</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4607</v>
      </c>
      <c r="B7" s="168" t="s">
        <v>1082</v>
      </c>
      <c r="C7" s="113">
        <v>4183832</v>
      </c>
      <c r="D7" s="168">
        <f t="shared" si="2"/>
        <v>0.24118578375039915</v>
      </c>
      <c r="E7" s="168" t="s">
        <v>4608</v>
      </c>
      <c r="F7" s="113">
        <v>217.1</v>
      </c>
      <c r="G7" s="168">
        <v>4648</v>
      </c>
      <c r="H7" s="168">
        <f t="shared" si="0"/>
        <v>19271.450944265314</v>
      </c>
      <c r="I7" s="168">
        <f t="shared" si="1"/>
        <v>5.1890228861961954E-5</v>
      </c>
      <c r="J7" s="99"/>
    </row>
    <row r="8" spans="1:10">
      <c r="A8" s="168" t="s">
        <v>4607</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4612</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4612</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4613</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4613</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4626</v>
      </c>
      <c r="B13" s="168" t="s">
        <v>1082</v>
      </c>
      <c r="C13" s="113">
        <v>4369699</v>
      </c>
      <c r="D13" s="168">
        <f t="shared" si="2"/>
        <v>0.22790475957268452</v>
      </c>
      <c r="E13" s="168" t="s">
        <v>4594</v>
      </c>
      <c r="F13" s="113">
        <v>724.8</v>
      </c>
      <c r="G13" s="168">
        <v>1374</v>
      </c>
      <c r="H13" s="168">
        <f t="shared" si="0"/>
        <v>6028.8341611479036</v>
      </c>
      <c r="I13" s="168">
        <f t="shared" si="1"/>
        <v>1.6586954845173546E-4</v>
      </c>
      <c r="J13" s="99"/>
    </row>
    <row r="14" spans="1:10">
      <c r="A14" s="168" t="s">
        <v>4626</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4638</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4649</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4649</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4660</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4660</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4665</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4668</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4670</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4670</v>
      </c>
      <c r="B23" s="168" t="s">
        <v>1082</v>
      </c>
      <c r="C23" s="113">
        <v>4291628</v>
      </c>
      <c r="D23" s="213">
        <f t="shared" si="3"/>
        <v>4.7641314671262279E-2</v>
      </c>
      <c r="E23" s="19" t="s">
        <v>4567</v>
      </c>
      <c r="F23" s="117">
        <v>178.1</v>
      </c>
      <c r="G23" s="19">
        <v>1148</v>
      </c>
      <c r="H23" s="19">
        <f t="shared" si="0"/>
        <v>24096.732172936554</v>
      </c>
      <c r="I23" s="168">
        <f t="shared" si="1"/>
        <v>4.1499403023747632E-5</v>
      </c>
      <c r="J23" s="99"/>
    </row>
    <row r="24" spans="1:10">
      <c r="A24" s="213" t="s">
        <v>4680</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4681</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4690</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4703</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4703</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4703</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4703</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4707</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4708</v>
      </c>
    </row>
    <row r="33" spans="1:10">
      <c r="A33" s="213" t="s">
        <v>4707</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4707</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4721</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4721</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4721</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4728</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4728</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4728</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4742</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4755</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4760</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4768</v>
      </c>
      <c r="B44" s="213" t="s">
        <v>4286</v>
      </c>
      <c r="C44" s="113">
        <v>299.10000000000002</v>
      </c>
      <c r="D44" s="213">
        <v>5658</v>
      </c>
      <c r="E44" s="213" t="s">
        <v>4233</v>
      </c>
      <c r="F44" s="213">
        <v>182.5</v>
      </c>
      <c r="G44" s="213">
        <v>9173</v>
      </c>
      <c r="H44" s="213">
        <f t="shared" si="4"/>
        <v>1.6389041095890413</v>
      </c>
      <c r="I44" s="213">
        <f t="shared" si="5"/>
        <v>0.61016382480775655</v>
      </c>
      <c r="J44" s="99" t="s">
        <v>4769</v>
      </c>
    </row>
    <row r="45" spans="1:10">
      <c r="A45" s="213" t="s">
        <v>4768</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4792</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4935</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4935</v>
      </c>
      <c r="B48" s="213" t="s">
        <v>4286</v>
      </c>
      <c r="C48" s="113">
        <v>361.4</v>
      </c>
      <c r="D48" s="213">
        <v>5174</v>
      </c>
      <c r="E48" s="213" t="s">
        <v>4379</v>
      </c>
      <c r="F48" s="213">
        <v>3698</v>
      </c>
      <c r="G48" s="213">
        <v>498</v>
      </c>
      <c r="H48" s="213">
        <f t="shared" si="4"/>
        <v>9.7728501892915084E-2</v>
      </c>
      <c r="I48" s="213">
        <f t="shared" si="5"/>
        <v>10.232429441062536</v>
      </c>
      <c r="J48" s="99"/>
    </row>
    <row r="49" spans="1:13">
      <c r="A49" s="213" t="s">
        <v>4935</v>
      </c>
      <c r="B49" s="213" t="s">
        <v>4521</v>
      </c>
      <c r="C49" s="113">
        <v>4909.6000000000004</v>
      </c>
      <c r="D49" s="213">
        <v>2000</v>
      </c>
      <c r="E49" s="213" t="s">
        <v>4379</v>
      </c>
      <c r="F49" s="213">
        <v>3715.1</v>
      </c>
      <c r="G49" s="213">
        <v>2603</v>
      </c>
      <c r="H49" s="213">
        <f t="shared" si="4"/>
        <v>1.321525665527173</v>
      </c>
      <c r="I49" s="213">
        <f t="shared" si="5"/>
        <v>0.75670115691706041</v>
      </c>
      <c r="J49" s="99"/>
    </row>
    <row r="50" spans="1:13">
      <c r="A50" s="213" t="s">
        <v>4935</v>
      </c>
      <c r="B50" s="213" t="s">
        <v>4521</v>
      </c>
      <c r="C50" s="113">
        <v>4949.8</v>
      </c>
      <c r="D50" s="213">
        <v>64</v>
      </c>
      <c r="E50" s="213" t="s">
        <v>4379</v>
      </c>
      <c r="F50" s="213">
        <v>3720.1</v>
      </c>
      <c r="G50" s="213">
        <v>84</v>
      </c>
      <c r="H50" s="213">
        <f t="shared" si="4"/>
        <v>1.3305556302249941</v>
      </c>
      <c r="I50" s="213">
        <f t="shared" si="5"/>
        <v>0.75156571982706366</v>
      </c>
      <c r="J50" s="99"/>
    </row>
    <row r="51" spans="1:13">
      <c r="A51" s="213" t="s">
        <v>4935</v>
      </c>
      <c r="B51" s="213" t="s">
        <v>4521</v>
      </c>
      <c r="C51" s="113">
        <v>4949</v>
      </c>
      <c r="D51" s="213">
        <v>1000</v>
      </c>
      <c r="E51" s="213" t="s">
        <v>4233</v>
      </c>
      <c r="F51" s="213">
        <v>192</v>
      </c>
      <c r="G51" s="213" t="s">
        <v>4939</v>
      </c>
      <c r="H51" s="213">
        <f t="shared" si="4"/>
        <v>25.776041666666668</v>
      </c>
      <c r="I51" s="213">
        <f t="shared" si="5"/>
        <v>3.8795716306324508E-2</v>
      </c>
      <c r="J51" s="99"/>
    </row>
    <row r="52" spans="1:13">
      <c r="A52" s="213" t="s">
        <v>4942</v>
      </c>
      <c r="B52" s="213" t="s">
        <v>4521</v>
      </c>
      <c r="C52" s="113">
        <v>4957.7</v>
      </c>
      <c r="D52" s="213" t="s">
        <v>4939</v>
      </c>
      <c r="E52" s="213" t="s">
        <v>4379</v>
      </c>
      <c r="F52" s="213">
        <v>3589.3</v>
      </c>
      <c r="G52" s="213" t="s">
        <v>4939</v>
      </c>
      <c r="H52" s="213">
        <f t="shared" si="4"/>
        <v>1.3812442537542138</v>
      </c>
      <c r="I52" s="213">
        <f t="shared" si="5"/>
        <v>0.72398491235855345</v>
      </c>
      <c r="J52" s="99"/>
    </row>
    <row r="53" spans="1:13">
      <c r="A53" s="213" t="s">
        <v>4942</v>
      </c>
      <c r="B53" s="213" t="s">
        <v>4521</v>
      </c>
      <c r="C53" s="113">
        <v>4958</v>
      </c>
      <c r="D53" s="213" t="s">
        <v>4939</v>
      </c>
      <c r="E53" s="213" t="s">
        <v>4383</v>
      </c>
      <c r="F53" s="213">
        <v>4730.8999999999996</v>
      </c>
      <c r="G53" s="213" t="s">
        <v>4939</v>
      </c>
      <c r="H53" s="213">
        <f t="shared" si="4"/>
        <v>1.0480035511213512</v>
      </c>
      <c r="I53" s="213">
        <f t="shared" si="5"/>
        <v>0.95419524001613543</v>
      </c>
      <c r="J53" s="99"/>
    </row>
    <row r="54" spans="1:13">
      <c r="A54" s="213" t="s">
        <v>4942</v>
      </c>
      <c r="B54" s="213" t="s">
        <v>4521</v>
      </c>
      <c r="C54" s="113">
        <v>4958</v>
      </c>
      <c r="D54" s="213" t="s">
        <v>4939</v>
      </c>
      <c r="E54" s="213" t="s">
        <v>4397</v>
      </c>
      <c r="F54" s="213">
        <v>671.9</v>
      </c>
      <c r="G54" s="213" t="s">
        <v>4939</v>
      </c>
      <c r="H54" s="213">
        <f t="shared" si="4"/>
        <v>7.379074267004019</v>
      </c>
      <c r="I54" s="213">
        <f t="shared" si="5"/>
        <v>0.13551835417507058</v>
      </c>
      <c r="J54" s="99"/>
      <c r="M54" t="s">
        <v>25</v>
      </c>
    </row>
    <row r="55" spans="1:13">
      <c r="A55" s="213" t="s">
        <v>4942</v>
      </c>
      <c r="B55" s="213" t="s">
        <v>4521</v>
      </c>
      <c r="C55" s="113">
        <v>4958</v>
      </c>
      <c r="D55" s="213" t="s">
        <v>4939</v>
      </c>
      <c r="E55" s="213" t="s">
        <v>4233</v>
      </c>
      <c r="F55" s="213">
        <v>194.4</v>
      </c>
      <c r="G55" s="213" t="s">
        <v>4939</v>
      </c>
      <c r="H55" s="213">
        <f t="shared" si="4"/>
        <v>25.504115226337447</v>
      </c>
      <c r="I55" s="213">
        <f t="shared" si="5"/>
        <v>3.9209358612343689E-2</v>
      </c>
      <c r="J55" s="99"/>
    </row>
    <row r="56" spans="1:13">
      <c r="A56" s="213" t="s">
        <v>5022</v>
      </c>
      <c r="B56" s="213" t="s">
        <v>4383</v>
      </c>
      <c r="C56" s="113">
        <v>5077.8</v>
      </c>
      <c r="D56" s="213">
        <v>5000</v>
      </c>
      <c r="E56" s="213" t="s">
        <v>4233</v>
      </c>
      <c r="F56" s="213">
        <v>211.3</v>
      </c>
      <c r="G56" s="213">
        <v>118433</v>
      </c>
      <c r="H56" s="213">
        <f t="shared" si="4"/>
        <v>24.031235210601039</v>
      </c>
      <c r="I56" s="213">
        <f t="shared" si="5"/>
        <v>4.161250935444484E-2</v>
      </c>
      <c r="J56" s="99"/>
    </row>
    <row r="57" spans="1:13">
      <c r="A57" s="213" t="s">
        <v>5026</v>
      </c>
      <c r="B57" s="213" t="s">
        <v>4383</v>
      </c>
      <c r="C57" s="113">
        <v>5039.5</v>
      </c>
      <c r="D57" s="213">
        <v>100</v>
      </c>
      <c r="E57" s="213" t="s">
        <v>4233</v>
      </c>
      <c r="F57" s="213">
        <v>209.6</v>
      </c>
      <c r="G57" s="213">
        <v>2379</v>
      </c>
      <c r="H57" s="213">
        <f t="shared" si="4"/>
        <v>24.043416030534353</v>
      </c>
      <c r="I57" s="213">
        <f t="shared" si="5"/>
        <v>4.1591427721004069E-2</v>
      </c>
      <c r="J57" s="99"/>
    </row>
    <row r="58" spans="1:13">
      <c r="A58" s="213" t="s">
        <v>5033</v>
      </c>
      <c r="B58" s="213" t="s">
        <v>4383</v>
      </c>
      <c r="C58" s="113">
        <v>4979.8999999999996</v>
      </c>
      <c r="D58" s="213">
        <v>100</v>
      </c>
      <c r="E58" s="213" t="s">
        <v>4233</v>
      </c>
      <c r="F58" s="213">
        <v>205.1</v>
      </c>
      <c r="G58" s="213">
        <v>2393</v>
      </c>
      <c r="H58" s="213">
        <f t="shared" si="4"/>
        <v>24.280351048269136</v>
      </c>
      <c r="I58" s="213">
        <f t="shared" si="5"/>
        <v>4.1185565975220391E-2</v>
      </c>
      <c r="J58" s="99"/>
    </row>
    <row r="59" spans="1:13">
      <c r="A59" s="213" t="s">
        <v>5061</v>
      </c>
      <c r="B59" s="213" t="s">
        <v>4383</v>
      </c>
      <c r="C59" s="113">
        <v>5300</v>
      </c>
      <c r="D59" s="213">
        <v>10520</v>
      </c>
      <c r="E59" s="213" t="s">
        <v>4397</v>
      </c>
      <c r="F59" s="213">
        <v>709</v>
      </c>
      <c r="G59" s="213">
        <v>77508</v>
      </c>
      <c r="H59" s="213">
        <f t="shared" si="4"/>
        <v>7.4753173483779971</v>
      </c>
      <c r="I59" s="213">
        <f t="shared" si="5"/>
        <v>0.13377358490566038</v>
      </c>
      <c r="J59" s="99"/>
    </row>
    <row r="60" spans="1:13">
      <c r="A60" s="99" t="s">
        <v>5074</v>
      </c>
      <c r="B60" s="99" t="s">
        <v>4397</v>
      </c>
      <c r="C60" s="113">
        <v>742</v>
      </c>
      <c r="D60" s="213">
        <v>11000</v>
      </c>
      <c r="E60" s="99" t="s">
        <v>4233</v>
      </c>
      <c r="F60" s="113">
        <v>240.4</v>
      </c>
      <c r="G60" s="213">
        <v>33357</v>
      </c>
      <c r="H60" s="213">
        <f t="shared" ref="H60:H79" si="6">C60/F60</f>
        <v>3.0865224625623959</v>
      </c>
      <c r="I60" s="213">
        <f t="shared" ref="I60:I79" si="7">F60/C60</f>
        <v>0.32398921832884098</v>
      </c>
      <c r="J60" s="99"/>
    </row>
    <row r="61" spans="1:13">
      <c r="A61" s="59" t="s">
        <v>5084</v>
      </c>
      <c r="B61" s="99" t="s">
        <v>4397</v>
      </c>
      <c r="C61" s="99">
        <v>752.1</v>
      </c>
      <c r="D61" s="99">
        <v>64000</v>
      </c>
      <c r="E61" s="99" t="s">
        <v>4233</v>
      </c>
      <c r="F61" s="99">
        <v>241.4</v>
      </c>
      <c r="G61" s="99">
        <v>200558</v>
      </c>
      <c r="H61" s="213">
        <f t="shared" si="6"/>
        <v>3.1155758077879039</v>
      </c>
      <c r="I61" s="213">
        <f t="shared" si="7"/>
        <v>0.32096795638877806</v>
      </c>
      <c r="J61" s="99"/>
    </row>
    <row r="62" spans="1:13">
      <c r="A62" s="213"/>
      <c r="B62" s="99" t="s">
        <v>4397</v>
      </c>
      <c r="C62" s="99">
        <v>744.6</v>
      </c>
      <c r="D62" s="99">
        <v>20671</v>
      </c>
      <c r="E62" s="99" t="s">
        <v>4233</v>
      </c>
      <c r="F62" s="99">
        <v>237.8</v>
      </c>
      <c r="G62" s="99">
        <v>63957</v>
      </c>
      <c r="H62" s="213">
        <f t="shared" si="6"/>
        <v>3.1312026913372581</v>
      </c>
      <c r="I62" s="213">
        <f t="shared" si="7"/>
        <v>0.31936610260542575</v>
      </c>
      <c r="J62" s="99"/>
    </row>
    <row r="63" spans="1:13">
      <c r="A63" s="213"/>
      <c r="B63" s="99" t="s">
        <v>4397</v>
      </c>
      <c r="C63" s="99">
        <v>7389</v>
      </c>
      <c r="D63" s="99">
        <v>1000</v>
      </c>
      <c r="E63" s="99" t="s">
        <v>4233</v>
      </c>
      <c r="F63" s="99">
        <v>2411</v>
      </c>
      <c r="G63" s="99">
        <v>3018</v>
      </c>
      <c r="H63" s="213">
        <f t="shared" si="6"/>
        <v>3.0647034425549564</v>
      </c>
      <c r="I63" s="213">
        <f t="shared" si="7"/>
        <v>0.3262958451752605</v>
      </c>
      <c r="J63" s="99"/>
    </row>
    <row r="64" spans="1:13">
      <c r="A64" s="213"/>
      <c r="B64" s="99" t="s">
        <v>4397</v>
      </c>
      <c r="C64" s="152">
        <v>7444</v>
      </c>
      <c r="D64" s="152">
        <v>10000</v>
      </c>
      <c r="E64" s="99" t="s">
        <v>4233</v>
      </c>
      <c r="F64" s="152">
        <v>2427</v>
      </c>
      <c r="G64" s="152">
        <v>30180</v>
      </c>
      <c r="H64" s="213">
        <f t="shared" si="6"/>
        <v>3.0671611042439224</v>
      </c>
      <c r="I64" s="213">
        <f t="shared" si="7"/>
        <v>0.32603439011284258</v>
      </c>
      <c r="J64" s="99"/>
    </row>
    <row r="65" spans="1:20">
      <c r="A65" s="161" t="s">
        <v>5126</v>
      </c>
      <c r="B65" s="99" t="s">
        <v>4397</v>
      </c>
      <c r="C65" s="161">
        <v>747.2</v>
      </c>
      <c r="D65" s="161">
        <v>2000</v>
      </c>
      <c r="E65" s="99" t="s">
        <v>4233</v>
      </c>
      <c r="F65" s="161">
        <v>242.8</v>
      </c>
      <c r="G65" s="161">
        <v>6069</v>
      </c>
      <c r="H65" s="213">
        <f t="shared" si="6"/>
        <v>3.0774299835255357</v>
      </c>
      <c r="I65" s="213">
        <f t="shared" si="7"/>
        <v>0.32494646680942185</v>
      </c>
      <c r="J65" s="99"/>
    </row>
    <row r="66" spans="1:20">
      <c r="A66" s="270" t="s">
        <v>4228</v>
      </c>
      <c r="B66" s="99" t="s">
        <v>4397</v>
      </c>
      <c r="C66" s="270">
        <v>746.4</v>
      </c>
      <c r="D66" s="270">
        <v>4000</v>
      </c>
      <c r="E66" s="99" t="s">
        <v>4233</v>
      </c>
      <c r="F66" s="270">
        <v>241.7</v>
      </c>
      <c r="G66" s="270">
        <v>12167</v>
      </c>
      <c r="H66" s="213">
        <f t="shared" si="6"/>
        <v>3.0881257757550684</v>
      </c>
      <c r="I66" s="213">
        <f t="shared" si="7"/>
        <v>0.3238210075026795</v>
      </c>
      <c r="J66" s="99"/>
    </row>
    <row r="67" spans="1:20">
      <c r="A67" s="270" t="s">
        <v>5142</v>
      </c>
      <c r="B67" s="99" t="s">
        <v>4233</v>
      </c>
      <c r="C67" s="270">
        <v>269.5</v>
      </c>
      <c r="D67" s="270">
        <v>7000</v>
      </c>
      <c r="E67" s="99" t="s">
        <v>4397</v>
      </c>
      <c r="F67" s="270">
        <v>740</v>
      </c>
      <c r="G67" s="270">
        <v>2510</v>
      </c>
      <c r="H67" s="213">
        <f t="shared" si="6"/>
        <v>0.36418918918918919</v>
      </c>
      <c r="I67" s="213">
        <f t="shared" si="7"/>
        <v>2.74582560296846</v>
      </c>
      <c r="J67" s="99"/>
      <c r="L67" s="96"/>
      <c r="M67" s="96"/>
      <c r="N67" s="96"/>
      <c r="O67" s="96"/>
      <c r="P67" s="96"/>
      <c r="Q67" s="96"/>
      <c r="R67" s="96"/>
      <c r="S67" s="96"/>
      <c r="T67" s="96"/>
    </row>
    <row r="68" spans="1:20">
      <c r="A68" s="270" t="s">
        <v>5145</v>
      </c>
      <c r="B68" s="99" t="s">
        <v>4233</v>
      </c>
      <c r="C68" s="270">
        <v>2710</v>
      </c>
      <c r="D68" s="270">
        <v>5122</v>
      </c>
      <c r="E68" s="99" t="s">
        <v>4397</v>
      </c>
      <c r="F68" s="270">
        <v>7506</v>
      </c>
      <c r="G68" s="270">
        <v>1821</v>
      </c>
      <c r="H68" s="213">
        <f t="shared" si="6"/>
        <v>0.36104449773514524</v>
      </c>
      <c r="I68" s="213">
        <f t="shared" si="7"/>
        <v>2.7697416974169742</v>
      </c>
      <c r="J68" s="99"/>
      <c r="L68" s="96"/>
      <c r="M68" s="96"/>
      <c r="N68" s="96"/>
      <c r="O68" s="96"/>
      <c r="P68" s="96"/>
      <c r="Q68" s="96"/>
      <c r="R68" s="96"/>
      <c r="S68" s="96"/>
      <c r="T68" s="96"/>
    </row>
    <row r="69" spans="1:20">
      <c r="A69" s="161" t="s">
        <v>5171</v>
      </c>
      <c r="B69" s="99" t="s">
        <v>4233</v>
      </c>
      <c r="C69" s="161">
        <v>275.10000000000002</v>
      </c>
      <c r="D69" s="161">
        <v>2000</v>
      </c>
      <c r="E69" s="99" t="s">
        <v>4397</v>
      </c>
      <c r="F69" s="161">
        <v>778.5</v>
      </c>
      <c r="G69" s="161">
        <v>697</v>
      </c>
      <c r="H69" s="213">
        <f t="shared" si="6"/>
        <v>0.3533718689788054</v>
      </c>
      <c r="I69" s="213">
        <f t="shared" si="7"/>
        <v>2.8298800436205016</v>
      </c>
      <c r="J69" s="99"/>
      <c r="L69" s="96"/>
      <c r="M69" s="96"/>
      <c r="N69" s="96"/>
      <c r="O69" s="96"/>
      <c r="P69" s="96"/>
      <c r="Q69" s="96"/>
      <c r="R69" s="96"/>
      <c r="S69" s="96"/>
      <c r="T69" s="96"/>
    </row>
    <row r="70" spans="1:20">
      <c r="A70" s="161" t="s">
        <v>5172</v>
      </c>
      <c r="B70" s="99" t="s">
        <v>4233</v>
      </c>
      <c r="C70" s="161">
        <v>2845</v>
      </c>
      <c r="D70" s="161">
        <v>1614</v>
      </c>
      <c r="E70" s="99" t="s">
        <v>4397</v>
      </c>
      <c r="F70" s="161">
        <v>7914</v>
      </c>
      <c r="G70" s="161">
        <v>572</v>
      </c>
      <c r="H70" s="213">
        <f t="shared" si="6"/>
        <v>0.35948951225676018</v>
      </c>
      <c r="I70" s="213">
        <f t="shared" si="7"/>
        <v>2.7817223198594023</v>
      </c>
      <c r="J70" s="99"/>
      <c r="L70" s="96"/>
      <c r="M70" s="96"/>
      <c r="N70" s="96"/>
      <c r="O70" s="96"/>
      <c r="P70" s="96"/>
      <c r="Q70" s="96"/>
      <c r="R70" s="96"/>
      <c r="S70" s="96"/>
      <c r="T70" s="96"/>
    </row>
    <row r="71" spans="1:20">
      <c r="A71" s="152" t="s">
        <v>5114</v>
      </c>
      <c r="B71" s="99" t="s">
        <v>4233</v>
      </c>
      <c r="C71" s="152">
        <v>291.5</v>
      </c>
      <c r="D71" s="152">
        <v>10000</v>
      </c>
      <c r="E71" s="99" t="s">
        <v>4397</v>
      </c>
      <c r="F71" s="161">
        <v>782.4</v>
      </c>
      <c r="G71" s="152">
        <v>3676</v>
      </c>
      <c r="H71" s="213">
        <f t="shared" si="6"/>
        <v>0.37257157464212681</v>
      </c>
      <c r="I71" s="213">
        <f t="shared" si="7"/>
        <v>2.6840480274442537</v>
      </c>
      <c r="J71" s="99"/>
      <c r="L71" s="96"/>
      <c r="M71" s="96"/>
      <c r="N71" s="96"/>
      <c r="O71" s="96"/>
      <c r="P71" s="96"/>
      <c r="Q71" s="96"/>
      <c r="R71" s="96"/>
      <c r="S71" s="96"/>
      <c r="T71" s="96"/>
    </row>
    <row r="72" spans="1:20">
      <c r="A72" s="274" t="s">
        <v>5178</v>
      </c>
      <c r="B72" s="99" t="s">
        <v>4233</v>
      </c>
      <c r="C72" s="274">
        <v>2868</v>
      </c>
      <c r="D72" s="274">
        <v>1000</v>
      </c>
      <c r="E72" s="99" t="s">
        <v>4397</v>
      </c>
      <c r="F72" s="274">
        <v>7620</v>
      </c>
      <c r="G72" s="274">
        <v>371</v>
      </c>
      <c r="H72" s="213">
        <f t="shared" si="6"/>
        <v>0.37637795275590552</v>
      </c>
      <c r="I72" s="213">
        <f t="shared" si="7"/>
        <v>2.6569037656903767</v>
      </c>
      <c r="J72" s="99"/>
      <c r="L72" s="96"/>
      <c r="M72" s="96"/>
      <c r="N72" s="96"/>
      <c r="O72" s="96"/>
      <c r="P72" s="96"/>
      <c r="Q72" s="96"/>
      <c r="R72" s="96"/>
      <c r="S72" s="96"/>
      <c r="T72" s="96"/>
    </row>
    <row r="73" spans="1:20">
      <c r="A73" s="274"/>
      <c r="B73" s="99" t="s">
        <v>4233</v>
      </c>
      <c r="C73" s="274">
        <v>2799</v>
      </c>
      <c r="D73" s="274">
        <v>2000</v>
      </c>
      <c r="E73" s="99" t="s">
        <v>4397</v>
      </c>
      <c r="F73" s="274">
        <v>7346</v>
      </c>
      <c r="G73" s="274">
        <v>749</v>
      </c>
      <c r="H73" s="213">
        <f t="shared" si="6"/>
        <v>0.38102368635992379</v>
      </c>
      <c r="I73" s="213">
        <f t="shared" si="7"/>
        <v>2.6245087531261166</v>
      </c>
      <c r="J73" s="99"/>
      <c r="L73" s="96"/>
      <c r="M73" s="96"/>
      <c r="N73" s="96"/>
      <c r="O73" s="96"/>
      <c r="P73" s="96"/>
      <c r="Q73" s="96"/>
      <c r="R73" s="96"/>
      <c r="S73" s="96"/>
      <c r="T73" s="96"/>
    </row>
    <row r="74" spans="1:20">
      <c r="A74" s="274"/>
      <c r="B74" s="99" t="s">
        <v>4397</v>
      </c>
      <c r="C74" s="274">
        <v>7529</v>
      </c>
      <c r="D74" s="274">
        <v>1120</v>
      </c>
      <c r="E74" s="99" t="s">
        <v>4233</v>
      </c>
      <c r="F74" s="274">
        <v>2746</v>
      </c>
      <c r="G74" s="274">
        <v>3019</v>
      </c>
      <c r="H74" s="213">
        <f t="shared" si="6"/>
        <v>2.741806263656227</v>
      </c>
      <c r="I74" s="213">
        <f t="shared" si="7"/>
        <v>0.36472307079293398</v>
      </c>
      <c r="J74" s="99"/>
      <c r="L74" s="96"/>
      <c r="M74" s="96"/>
      <c r="N74" s="96"/>
      <c r="O74" s="96"/>
      <c r="P74" s="96"/>
      <c r="Q74" s="96"/>
      <c r="R74" s="96"/>
      <c r="S74" s="96"/>
      <c r="T74" s="96"/>
    </row>
    <row r="75" spans="1:20">
      <c r="A75" s="87" t="s">
        <v>5187</v>
      </c>
      <c r="B75" s="99" t="s">
        <v>4397</v>
      </c>
      <c r="C75" s="87">
        <v>8432</v>
      </c>
      <c r="D75" s="87">
        <v>2000</v>
      </c>
      <c r="E75" s="99" t="s">
        <v>4233</v>
      </c>
      <c r="F75" s="87">
        <v>2902</v>
      </c>
      <c r="G75" s="87">
        <v>5728</v>
      </c>
      <c r="H75" s="213">
        <f t="shared" si="6"/>
        <v>2.9055823569951755</v>
      </c>
      <c r="I75" s="213">
        <f t="shared" si="7"/>
        <v>0.34416508538899432</v>
      </c>
      <c r="J75" s="99"/>
      <c r="L75" s="96"/>
      <c r="M75" s="96"/>
      <c r="N75" s="96"/>
      <c r="O75" s="96"/>
      <c r="P75" s="96"/>
      <c r="Q75" s="96"/>
      <c r="R75" s="96"/>
      <c r="S75" s="96"/>
      <c r="T75" s="96"/>
    </row>
    <row r="76" spans="1:20">
      <c r="A76" s="87" t="s">
        <v>5223</v>
      </c>
      <c r="B76" s="99" t="s">
        <v>4233</v>
      </c>
      <c r="C76" s="87">
        <v>3039</v>
      </c>
      <c r="D76" s="87">
        <v>5424</v>
      </c>
      <c r="E76" s="99" t="s">
        <v>4397</v>
      </c>
      <c r="F76" s="87">
        <v>8125</v>
      </c>
      <c r="G76" s="87">
        <v>2000</v>
      </c>
      <c r="H76" s="213">
        <f t="shared" si="6"/>
        <v>0.37403076923076922</v>
      </c>
      <c r="I76" s="213">
        <f t="shared" si="7"/>
        <v>2.6735768344850279</v>
      </c>
      <c r="J76" s="99"/>
      <c r="L76" s="96"/>
      <c r="M76" s="96"/>
      <c r="N76" s="96"/>
      <c r="O76" s="96"/>
      <c r="P76" s="96"/>
      <c r="Q76" s="96"/>
      <c r="R76" s="96"/>
      <c r="S76" s="96"/>
      <c r="T76" s="96"/>
    </row>
    <row r="77" spans="1:20">
      <c r="A77" s="87" t="s">
        <v>5429</v>
      </c>
      <c r="B77" s="99" t="s">
        <v>4233</v>
      </c>
      <c r="C77" s="87">
        <v>5002</v>
      </c>
      <c r="D77" s="87">
        <v>14000</v>
      </c>
      <c r="E77" s="99" t="s">
        <v>5431</v>
      </c>
      <c r="F77" s="87">
        <v>4038</v>
      </c>
      <c r="G77" s="87">
        <v>17086</v>
      </c>
      <c r="H77" s="213">
        <f t="shared" si="6"/>
        <v>1.2387320455671125</v>
      </c>
      <c r="I77" s="213">
        <f t="shared" si="7"/>
        <v>0.80727708916433427</v>
      </c>
      <c r="J77" s="99"/>
      <c r="L77" s="96"/>
      <c r="M77" s="96"/>
      <c r="N77" s="96"/>
      <c r="O77" s="96"/>
      <c r="P77" s="96"/>
      <c r="Q77" s="96"/>
      <c r="R77" s="96"/>
      <c r="S77" s="96"/>
      <c r="T77" s="96"/>
    </row>
    <row r="78" spans="1:20">
      <c r="A78" s="87"/>
      <c r="B78" s="99" t="s">
        <v>4233</v>
      </c>
      <c r="C78" s="87">
        <v>5184</v>
      </c>
      <c r="D78" s="87">
        <v>17550</v>
      </c>
      <c r="E78" s="99" t="s">
        <v>5431</v>
      </c>
      <c r="F78" s="87">
        <v>3940</v>
      </c>
      <c r="G78" s="87">
        <v>22750</v>
      </c>
      <c r="H78" s="213">
        <f t="shared" si="6"/>
        <v>1.315736040609137</v>
      </c>
      <c r="I78" s="213">
        <f t="shared" si="7"/>
        <v>0.76003086419753085</v>
      </c>
      <c r="J78" s="99"/>
      <c r="K78" s="96"/>
      <c r="M78" s="96"/>
      <c r="N78" s="96"/>
      <c r="O78" s="96"/>
      <c r="P78" s="96"/>
      <c r="Q78" s="96"/>
      <c r="R78" s="96"/>
      <c r="S78" s="96"/>
      <c r="T78" s="96"/>
    </row>
    <row r="79" spans="1:20">
      <c r="A79" s="87"/>
      <c r="B79" s="99"/>
      <c r="C79" s="87">
        <v>4730</v>
      </c>
      <c r="D79" s="87"/>
      <c r="E79" s="99"/>
      <c r="F79" s="87">
        <v>4040</v>
      </c>
      <c r="G79" s="87"/>
      <c r="H79" s="213">
        <f t="shared" si="6"/>
        <v>1.1707920792079207</v>
      </c>
      <c r="I79" s="213">
        <f t="shared" si="7"/>
        <v>0.85412262156448204</v>
      </c>
      <c r="J79" s="99"/>
      <c r="K79" s="96"/>
      <c r="M79" s="96"/>
      <c r="N79" s="96"/>
      <c r="O79" s="96"/>
      <c r="P79" s="96"/>
      <c r="Q79" s="96"/>
      <c r="R79" s="96"/>
      <c r="S79" s="96"/>
      <c r="T79" s="96"/>
    </row>
    <row r="80" spans="1:20">
      <c r="A80" s="87"/>
      <c r="B80" s="99"/>
      <c r="C80" s="87"/>
      <c r="D80" s="87"/>
      <c r="E80" s="99"/>
      <c r="F80" s="87"/>
      <c r="G80" s="87"/>
      <c r="H80" s="213"/>
      <c r="I80" s="213"/>
      <c r="J80" s="99"/>
      <c r="K80" s="96"/>
      <c r="M80" s="96"/>
      <c r="N80" s="96"/>
      <c r="O80" s="96"/>
      <c r="P80" s="96"/>
      <c r="Q80" s="96"/>
      <c r="R80" s="96"/>
      <c r="S80" s="96"/>
      <c r="T80" s="96"/>
    </row>
    <row r="81" spans="2:20">
      <c r="D81" t="s">
        <v>25</v>
      </c>
      <c r="G81" t="s">
        <v>25</v>
      </c>
      <c r="K81" s="96"/>
      <c r="M81" s="96"/>
      <c r="N81" s="96"/>
      <c r="O81" s="96"/>
      <c r="P81" s="96"/>
      <c r="Q81" s="96"/>
      <c r="R81" s="96"/>
      <c r="S81" s="96"/>
      <c r="T81" s="96"/>
    </row>
    <row r="82" spans="2:20">
      <c r="K82" s="96"/>
      <c r="N82" s="96"/>
      <c r="O82" s="96"/>
      <c r="P82" s="96"/>
      <c r="Q82" s="96"/>
      <c r="R82" s="96"/>
      <c r="S82" s="96"/>
      <c r="T82" s="96"/>
    </row>
    <row r="83" spans="2:20">
      <c r="G83">
        <f>H78/H79</f>
        <v>1.1237999162919479</v>
      </c>
      <c r="K83" s="99"/>
      <c r="N83" s="96"/>
      <c r="O83" s="96"/>
      <c r="P83" s="96"/>
      <c r="Q83" s="96"/>
      <c r="R83" s="96"/>
      <c r="S83" s="96"/>
      <c r="T83" s="96"/>
    </row>
    <row r="84" spans="2:20">
      <c r="N84" s="96"/>
      <c r="O84" s="96"/>
      <c r="P84" s="96"/>
      <c r="Q84" s="96"/>
      <c r="R84" s="96"/>
      <c r="S84" s="96"/>
      <c r="T84" s="96"/>
    </row>
    <row r="85" spans="2:20" ht="105">
      <c r="D85" s="288" t="s">
        <v>5450</v>
      </c>
      <c r="N85" s="96"/>
      <c r="O85" s="96"/>
      <c r="P85" s="96"/>
      <c r="Q85" s="96"/>
      <c r="R85" s="96"/>
      <c r="S85" s="96"/>
      <c r="T85" s="96"/>
    </row>
    <row r="86" spans="2:20">
      <c r="N86" s="96"/>
      <c r="O86" s="96"/>
      <c r="P86" s="96"/>
      <c r="Q86" s="96"/>
      <c r="R86" s="96"/>
      <c r="S86" s="96"/>
      <c r="T86" s="96"/>
    </row>
    <row r="87" spans="2:20">
      <c r="B87" s="99">
        <v>24.280838620000001</v>
      </c>
      <c r="C87" s="99"/>
      <c r="D87" s="99"/>
      <c r="E87" s="99"/>
      <c r="F87" s="99"/>
      <c r="G87" s="99"/>
      <c r="H87" s="99"/>
      <c r="I87" s="99"/>
      <c r="J87" s="99"/>
      <c r="N87" s="96"/>
      <c r="O87" s="96"/>
      <c r="P87" s="96"/>
      <c r="Q87" s="96"/>
      <c r="R87" s="96"/>
      <c r="S87" s="96"/>
      <c r="T87" s="96"/>
    </row>
    <row r="88" spans="2:20">
      <c r="B88" s="99"/>
      <c r="C88" s="99"/>
      <c r="D88" s="99"/>
      <c r="E88" s="99"/>
      <c r="F88" s="99"/>
      <c r="G88" s="99"/>
      <c r="H88" s="99"/>
      <c r="I88" s="99" t="s">
        <v>25</v>
      </c>
      <c r="J88" s="99"/>
      <c r="N88" s="96"/>
      <c r="O88" s="96"/>
      <c r="P88" s="96"/>
      <c r="Q88" s="96"/>
      <c r="R88" s="96"/>
      <c r="S88" s="96"/>
      <c r="T88" s="96"/>
    </row>
    <row r="89" spans="2:20">
      <c r="B89" s="99" t="s">
        <v>180</v>
      </c>
      <c r="C89" s="99" t="s">
        <v>5444</v>
      </c>
      <c r="D89" s="99" t="s">
        <v>5445</v>
      </c>
      <c r="E89" s="99" t="s">
        <v>5446</v>
      </c>
      <c r="F89" s="99" t="s">
        <v>5447</v>
      </c>
      <c r="G89" s="99" t="s">
        <v>5448</v>
      </c>
      <c r="H89" s="99" t="s">
        <v>5449</v>
      </c>
      <c r="I89" s="99" t="s">
        <v>5029</v>
      </c>
      <c r="J89" s="99" t="s">
        <v>5034</v>
      </c>
      <c r="N89" s="96"/>
      <c r="O89" s="96"/>
      <c r="P89" s="96"/>
      <c r="Q89" s="96"/>
      <c r="R89" s="96"/>
      <c r="S89" s="96"/>
      <c r="T89" s="96"/>
    </row>
    <row r="90" spans="2:20">
      <c r="B90" s="99" t="s">
        <v>5022</v>
      </c>
      <c r="C90" s="99">
        <v>5000</v>
      </c>
      <c r="D90" s="99">
        <v>5077.8</v>
      </c>
      <c r="E90" s="99">
        <v>211.3</v>
      </c>
      <c r="F90" s="20">
        <f t="shared" ref="F90:F100" si="8">D90/E90</f>
        <v>24.031235210601039</v>
      </c>
      <c r="G90" s="20"/>
      <c r="H90" s="20"/>
      <c r="I90" s="99">
        <f>F90/$B$87</f>
        <v>0.98972014874340608</v>
      </c>
      <c r="J90" s="99">
        <f>F90/1.03</f>
        <v>23.331296320971884</v>
      </c>
      <c r="N90" s="96"/>
      <c r="O90" s="96"/>
      <c r="P90" s="96"/>
      <c r="Q90" s="96"/>
      <c r="R90" s="96"/>
      <c r="S90" s="96"/>
      <c r="T90" s="96"/>
    </row>
    <row r="91" spans="2:20">
      <c r="B91" s="99" t="s">
        <v>5026</v>
      </c>
      <c r="C91" s="99">
        <v>100</v>
      </c>
      <c r="D91" s="99">
        <v>5039.5</v>
      </c>
      <c r="E91" s="99">
        <v>209.6</v>
      </c>
      <c r="F91" s="20">
        <f t="shared" si="8"/>
        <v>24.043416030534353</v>
      </c>
      <c r="G91" s="20"/>
      <c r="H91" s="20"/>
      <c r="I91" s="99">
        <f>F91/$B$87</f>
        <v>0.99022181263253051</v>
      </c>
      <c r="J91" s="99">
        <f>F91/1.03</f>
        <v>23.34312235974209</v>
      </c>
      <c r="N91" s="96"/>
      <c r="O91" s="96"/>
      <c r="P91" s="96"/>
      <c r="Q91" s="96"/>
      <c r="R91" s="96"/>
      <c r="S91" s="96"/>
      <c r="T91" s="96"/>
    </row>
    <row r="92" spans="2:20">
      <c r="B92" s="99" t="s">
        <v>5033</v>
      </c>
      <c r="C92" s="99">
        <v>100</v>
      </c>
      <c r="D92" s="99">
        <v>4980</v>
      </c>
      <c r="E92" s="99">
        <v>205.1</v>
      </c>
      <c r="F92" s="146">
        <f t="shared" si="8"/>
        <v>24.280838615309605</v>
      </c>
      <c r="G92" s="20"/>
      <c r="H92" s="20"/>
      <c r="I92" s="99">
        <f>F92/$B$87</f>
        <v>0.9999999998068273</v>
      </c>
      <c r="J92" s="99">
        <f>F92/1.03</f>
        <v>23.57362972360156</v>
      </c>
      <c r="N92" s="96"/>
      <c r="O92" s="96"/>
      <c r="P92" s="96"/>
      <c r="Q92" s="96"/>
      <c r="R92" s="96"/>
      <c r="S92" s="96"/>
      <c r="T92" s="96"/>
    </row>
    <row r="93" spans="2:20">
      <c r="B93" s="99" t="s">
        <v>5037</v>
      </c>
      <c r="C93" s="99">
        <v>9712</v>
      </c>
      <c r="D93" s="99">
        <v>4936.3999999999996</v>
      </c>
      <c r="E93" s="99">
        <v>203.6</v>
      </c>
      <c r="F93" s="99">
        <f t="shared" si="8"/>
        <v>24.245579567779959</v>
      </c>
      <c r="G93" s="99"/>
      <c r="H93" s="99"/>
      <c r="I93" s="99">
        <f>F93/$B$87</f>
        <v>0.99854786513876836</v>
      </c>
      <c r="J93" s="99">
        <f>F93/1.03</f>
        <v>23.53939763862132</v>
      </c>
      <c r="N93" s="96"/>
      <c r="O93" s="96"/>
      <c r="P93" s="96"/>
      <c r="Q93" s="96"/>
      <c r="R93" s="96"/>
      <c r="S93" s="96"/>
      <c r="T93" s="96"/>
    </row>
    <row r="94" spans="2:20">
      <c r="B94" s="99" t="s">
        <v>5442</v>
      </c>
      <c r="C94" s="99">
        <v>14876</v>
      </c>
      <c r="D94" s="99">
        <v>7557.6</v>
      </c>
      <c r="E94" s="99">
        <v>518.4</v>
      </c>
      <c r="F94" s="23">
        <f t="shared" si="8"/>
        <v>14.578703703703704</v>
      </c>
      <c r="G94" s="99">
        <f>H94/C94</f>
        <v>14.788921753159451</v>
      </c>
      <c r="H94" s="99">
        <v>220000</v>
      </c>
      <c r="I94" s="99"/>
      <c r="J94" s="99"/>
      <c r="N94" s="96"/>
      <c r="O94" s="96"/>
      <c r="P94" s="96"/>
      <c r="Q94" s="96"/>
      <c r="R94" s="96"/>
      <c r="S94" s="96"/>
      <c r="T94" s="96"/>
    </row>
    <row r="95" spans="2:20">
      <c r="B95" s="99" t="s">
        <v>5485</v>
      </c>
      <c r="C95" s="99">
        <v>4300</v>
      </c>
      <c r="D95" s="99">
        <v>8424.1</v>
      </c>
      <c r="E95" s="99">
        <v>527.70000000000005</v>
      </c>
      <c r="F95" s="99">
        <f t="shared" si="8"/>
        <v>15.963805192344134</v>
      </c>
      <c r="G95" s="99">
        <f>H95/C95</f>
        <v>15.725581395348836</v>
      </c>
      <c r="H95" s="99">
        <v>67620</v>
      </c>
      <c r="I95" s="99"/>
      <c r="J95" s="99"/>
      <c r="N95" s="96"/>
      <c r="O95" s="96"/>
      <c r="P95" s="96"/>
      <c r="Q95" s="96"/>
      <c r="R95" s="96"/>
      <c r="S95" s="96"/>
      <c r="T95" s="96"/>
    </row>
    <row r="96" spans="2:20">
      <c r="B96" s="99" t="s">
        <v>5498</v>
      </c>
      <c r="C96" s="99">
        <v>3421</v>
      </c>
      <c r="D96" s="99">
        <v>7859.4</v>
      </c>
      <c r="E96" s="99">
        <v>497.5</v>
      </c>
      <c r="F96" s="99">
        <f t="shared" si="8"/>
        <v>15.797788944723617</v>
      </c>
      <c r="G96" s="99">
        <f>H96/C96</f>
        <v>15.564162525577316</v>
      </c>
      <c r="H96" s="99">
        <v>53245</v>
      </c>
      <c r="I96" s="99"/>
      <c r="J96" s="99"/>
    </row>
    <row r="97" spans="2:10">
      <c r="B97" s="99" t="s">
        <v>5514</v>
      </c>
      <c r="C97" s="99">
        <v>5000</v>
      </c>
      <c r="D97" s="99">
        <v>8333.2000000000007</v>
      </c>
      <c r="E97" s="99">
        <v>518</v>
      </c>
      <c r="F97" s="99">
        <f t="shared" si="8"/>
        <v>16.087258687258689</v>
      </c>
      <c r="G97" s="99">
        <f>H97/C97</f>
        <v>15.857799999999999</v>
      </c>
      <c r="H97" s="99">
        <v>79289</v>
      </c>
      <c r="I97" s="99"/>
      <c r="J97" s="99"/>
    </row>
    <row r="98" spans="2:10">
      <c r="B98" s="99" t="s">
        <v>5515</v>
      </c>
      <c r="C98" s="99">
        <v>1000</v>
      </c>
      <c r="D98" s="99">
        <v>8685.1</v>
      </c>
      <c r="E98" s="99">
        <v>535</v>
      </c>
      <c r="F98" s="99">
        <f t="shared" si="8"/>
        <v>16.233831775700935</v>
      </c>
      <c r="G98" s="99">
        <f>H98/C98</f>
        <v>15.993</v>
      </c>
      <c r="H98" s="99">
        <v>15993</v>
      </c>
      <c r="I98" s="99"/>
      <c r="J98" s="99"/>
    </row>
    <row r="99" spans="2:10">
      <c r="B99" s="99" t="s">
        <v>5539</v>
      </c>
      <c r="C99" s="99">
        <v>1000</v>
      </c>
      <c r="D99" s="99">
        <v>8629.9</v>
      </c>
      <c r="E99" s="99">
        <v>524.4</v>
      </c>
      <c r="F99" s="99">
        <f t="shared" si="8"/>
        <v>16.456712433257056</v>
      </c>
      <c r="G99" s="99">
        <v>16.221</v>
      </c>
      <c r="H99" s="99">
        <v>16221</v>
      </c>
      <c r="I99" s="99"/>
      <c r="J99" s="99"/>
    </row>
    <row r="100" spans="2:10">
      <c r="B100" s="99"/>
      <c r="C100" s="99"/>
      <c r="D100" s="99">
        <v>7641.8</v>
      </c>
      <c r="E100" s="99">
        <v>463</v>
      </c>
      <c r="F100" s="99">
        <f t="shared" si="8"/>
        <v>16.504967602591794</v>
      </c>
      <c r="G100" s="99"/>
      <c r="H100" s="99"/>
      <c r="I100" s="99"/>
      <c r="J100" s="99"/>
    </row>
    <row r="101" spans="2:10">
      <c r="B101" s="99"/>
      <c r="C101" s="99" t="s">
        <v>25</v>
      </c>
      <c r="D101" s="99" t="s">
        <v>25</v>
      </c>
      <c r="E101" s="99"/>
      <c r="F101" s="99"/>
      <c r="G101" s="99"/>
      <c r="H101" s="99"/>
      <c r="I101" s="99"/>
      <c r="J101" s="99"/>
    </row>
    <row r="102" spans="2:10">
      <c r="B102" s="99"/>
      <c r="C102" s="99"/>
      <c r="D102" s="99">
        <v>5757</v>
      </c>
      <c r="E102" s="99">
        <v>230</v>
      </c>
      <c r="F102" s="99">
        <f>D102/E102</f>
        <v>25.030434782608694</v>
      </c>
      <c r="G102" s="99"/>
      <c r="H102" s="99"/>
      <c r="I102" s="99">
        <f>F102/$B$87</f>
        <v>1.0308719222733622</v>
      </c>
      <c r="J102" s="99">
        <f>F102/1.03</f>
        <v>24.301392992823974</v>
      </c>
    </row>
    <row r="105" spans="2:10">
      <c r="F105">
        <f>F97/F94</f>
        <v>1.1034766200215551</v>
      </c>
    </row>
    <row r="106" spans="2:10">
      <c r="F106">
        <f>1/F105</f>
        <v>0.90622672184977171</v>
      </c>
    </row>
    <row r="108" spans="2:10">
      <c r="I108" t="s">
        <v>25</v>
      </c>
    </row>
    <row r="115" ht="83.2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22"/>
  <sheetViews>
    <sheetView topLeftCell="P3" zoomScale="85" zoomScaleNormal="85" workbookViewId="0">
      <selection activeCell="AB18" sqref="AB18"/>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4592</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4598</v>
      </c>
      <c r="L5" s="220">
        <v>0</v>
      </c>
      <c r="M5" s="219">
        <v>3</v>
      </c>
      <c r="N5" s="220">
        <f t="shared" ref="N5" si="0">L5*M5</f>
        <v>0</v>
      </c>
      <c r="O5" s="221" t="s">
        <v>4602</v>
      </c>
    </row>
    <row r="6" spans="1:20">
      <c r="A6" s="99" t="s">
        <v>1082</v>
      </c>
      <c r="B6" s="203">
        <v>4060000</v>
      </c>
      <c r="C6" s="169">
        <v>4260000</v>
      </c>
      <c r="D6" s="99" t="s">
        <v>4485</v>
      </c>
      <c r="F6" t="s">
        <v>25</v>
      </c>
      <c r="G6" s="96"/>
      <c r="H6" s="96"/>
      <c r="I6" s="96"/>
      <c r="J6" s="168">
        <v>5</v>
      </c>
      <c r="K6" s="168" t="s">
        <v>4603</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4607</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4612</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4612</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4613</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4613</v>
      </c>
      <c r="L11" s="113">
        <f>N11/M11</f>
        <v>4369699.111111111</v>
      </c>
      <c r="M11" s="168">
        <v>4.5</v>
      </c>
      <c r="N11" s="113">
        <v>19663646</v>
      </c>
      <c r="O11" s="99" t="s">
        <v>452</v>
      </c>
      <c r="P11" s="96"/>
      <c r="Q11" s="96"/>
      <c r="R11" s="96"/>
      <c r="S11" s="96"/>
      <c r="T11" s="96"/>
    </row>
    <row r="12" spans="1:20">
      <c r="A12" s="99" t="s">
        <v>4540</v>
      </c>
      <c r="B12" s="203">
        <v>3965312</v>
      </c>
      <c r="C12" s="169"/>
      <c r="D12" s="59" t="s">
        <v>4846</v>
      </c>
      <c r="F12" s="114">
        <v>0</v>
      </c>
      <c r="J12" s="168">
        <v>11</v>
      </c>
      <c r="K12" s="168" t="s">
        <v>4636</v>
      </c>
      <c r="L12" s="113">
        <v>4374525</v>
      </c>
      <c r="M12" s="168">
        <v>1</v>
      </c>
      <c r="N12" s="113">
        <v>4374525</v>
      </c>
      <c r="O12" s="99" t="s">
        <v>749</v>
      </c>
      <c r="P12" s="96"/>
      <c r="Q12" s="96"/>
      <c r="R12" s="96"/>
      <c r="S12" s="96"/>
    </row>
    <row r="13" spans="1:20">
      <c r="A13" s="99"/>
      <c r="B13" s="203"/>
      <c r="C13" s="169"/>
      <c r="D13" s="99"/>
      <c r="F13" s="114">
        <v>0</v>
      </c>
      <c r="J13" s="168">
        <v>12</v>
      </c>
      <c r="K13" s="168" t="s">
        <v>4636</v>
      </c>
      <c r="L13" s="113">
        <v>4374525</v>
      </c>
      <c r="M13" s="168">
        <v>1</v>
      </c>
      <c r="N13" s="113">
        <v>4374525</v>
      </c>
      <c r="O13" s="99" t="s">
        <v>452</v>
      </c>
      <c r="P13" s="96"/>
      <c r="Q13" s="96"/>
      <c r="R13" s="96"/>
      <c r="S13" s="96"/>
    </row>
    <row r="14" spans="1:20">
      <c r="A14" s="99"/>
      <c r="B14" s="203"/>
      <c r="C14" s="169"/>
      <c r="D14" s="99"/>
      <c r="F14" s="114">
        <v>0</v>
      </c>
      <c r="J14" s="168">
        <v>13</v>
      </c>
      <c r="K14" s="168" t="s">
        <v>4647</v>
      </c>
      <c r="L14" s="169">
        <v>4367053</v>
      </c>
      <c r="M14" s="168">
        <v>1.5</v>
      </c>
      <c r="N14" s="113">
        <v>6550580</v>
      </c>
      <c r="O14" s="99" t="s">
        <v>749</v>
      </c>
    </row>
    <row r="15" spans="1:20">
      <c r="A15" s="99"/>
      <c r="B15" s="203"/>
      <c r="C15" s="169"/>
      <c r="D15" s="99"/>
      <c r="F15" s="114">
        <f>B12+F7+F8+F9+F10+F11+F12+F13+F14</f>
        <v>3965312</v>
      </c>
      <c r="J15" s="168">
        <v>14</v>
      </c>
      <c r="K15" s="168" t="s">
        <v>4647</v>
      </c>
      <c r="L15" s="169">
        <v>4367053</v>
      </c>
      <c r="M15" s="168">
        <v>1.5</v>
      </c>
      <c r="N15" s="113">
        <v>6550580</v>
      </c>
      <c r="O15" s="99" t="s">
        <v>452</v>
      </c>
    </row>
    <row r="16" spans="1:20">
      <c r="A16" s="99"/>
      <c r="B16" s="203"/>
      <c r="C16" s="169"/>
      <c r="D16" s="99"/>
      <c r="J16" s="210">
        <v>15</v>
      </c>
      <c r="K16" s="210" t="s">
        <v>4649</v>
      </c>
      <c r="L16" s="169">
        <v>4433930</v>
      </c>
      <c r="M16" s="210">
        <v>1.5</v>
      </c>
      <c r="N16" s="113">
        <f>L16*M16</f>
        <v>6650895</v>
      </c>
      <c r="O16" s="99" t="s">
        <v>749</v>
      </c>
    </row>
    <row r="17" spans="1:20">
      <c r="A17" s="99"/>
      <c r="J17" s="210">
        <v>16</v>
      </c>
      <c r="K17" s="210" t="s">
        <v>4649</v>
      </c>
      <c r="L17" s="169">
        <v>4433930</v>
      </c>
      <c r="M17" s="210">
        <v>1.5</v>
      </c>
      <c r="N17" s="113">
        <f>L17*M17</f>
        <v>6650895</v>
      </c>
      <c r="O17" s="99" t="s">
        <v>452</v>
      </c>
    </row>
    <row r="18" spans="1:20">
      <c r="A18" s="96"/>
      <c r="B18" s="96"/>
      <c r="C18" s="96"/>
      <c r="D18" s="96"/>
      <c r="J18" s="213">
        <v>17</v>
      </c>
      <c r="K18" s="213" t="s">
        <v>4668</v>
      </c>
      <c r="L18" s="169">
        <v>4291628</v>
      </c>
      <c r="M18" s="213">
        <v>0.5</v>
      </c>
      <c r="N18" s="113">
        <v>2145814</v>
      </c>
      <c r="O18" s="99" t="s">
        <v>749</v>
      </c>
    </row>
    <row r="19" spans="1:20">
      <c r="A19" s="96"/>
      <c r="B19" s="96"/>
      <c r="C19" s="96"/>
      <c r="D19" s="96"/>
      <c r="J19" s="213">
        <v>18</v>
      </c>
      <c r="K19" s="213" t="s">
        <v>4668</v>
      </c>
      <c r="L19" s="169">
        <v>4291628</v>
      </c>
      <c r="M19" s="213">
        <v>0.5</v>
      </c>
      <c r="N19" s="113">
        <v>2145814</v>
      </c>
      <c r="O19" s="99" t="s">
        <v>452</v>
      </c>
      <c r="R19" t="s">
        <v>25</v>
      </c>
      <c r="T19" t="s">
        <v>25</v>
      </c>
    </row>
    <row r="20" spans="1:20">
      <c r="J20" s="213">
        <v>19</v>
      </c>
      <c r="K20" s="213" t="s">
        <v>4679</v>
      </c>
      <c r="L20" s="169">
        <v>4369730</v>
      </c>
      <c r="M20" s="213">
        <v>1</v>
      </c>
      <c r="N20" s="113">
        <f t="shared" ref="N20:N38" si="1">L20*M20</f>
        <v>4369730</v>
      </c>
      <c r="O20" s="99" t="s">
        <v>749</v>
      </c>
    </row>
    <row r="21" spans="1:20">
      <c r="J21" s="213">
        <v>20</v>
      </c>
      <c r="K21" s="213" t="s">
        <v>4679</v>
      </c>
      <c r="L21" s="169">
        <v>4369730</v>
      </c>
      <c r="M21" s="213">
        <v>1</v>
      </c>
      <c r="N21" s="113">
        <f t="shared" si="1"/>
        <v>4369730</v>
      </c>
      <c r="O21" s="99" t="s">
        <v>452</v>
      </c>
      <c r="R21" t="s">
        <v>25</v>
      </c>
    </row>
    <row r="22" spans="1:20">
      <c r="J22" s="168">
        <v>21</v>
      </c>
      <c r="K22" s="168" t="s">
        <v>4680</v>
      </c>
      <c r="L22" s="113">
        <v>4398820</v>
      </c>
      <c r="M22" s="168">
        <v>2</v>
      </c>
      <c r="N22" s="113">
        <f t="shared" si="1"/>
        <v>8797640</v>
      </c>
      <c r="O22" s="99" t="s">
        <v>749</v>
      </c>
      <c r="R22" t="s">
        <v>25</v>
      </c>
    </row>
    <row r="23" spans="1:20">
      <c r="A23" s="99" t="s">
        <v>180</v>
      </c>
      <c r="B23" s="99" t="s">
        <v>4673</v>
      </c>
      <c r="C23" s="99" t="s">
        <v>4674</v>
      </c>
      <c r="D23" s="99" t="s">
        <v>4675</v>
      </c>
      <c r="E23" s="69" t="s">
        <v>4676</v>
      </c>
      <c r="J23" s="213">
        <v>22</v>
      </c>
      <c r="K23" s="213" t="s">
        <v>4680</v>
      </c>
      <c r="L23" s="113">
        <v>4398820</v>
      </c>
      <c r="M23" s="213">
        <v>2</v>
      </c>
      <c r="N23" s="113">
        <f t="shared" si="1"/>
        <v>8797640</v>
      </c>
      <c r="O23" s="99" t="s">
        <v>452</v>
      </c>
      <c r="Q23" t="s">
        <v>25</v>
      </c>
      <c r="R23" t="s">
        <v>25</v>
      </c>
    </row>
    <row r="24" spans="1:20">
      <c r="A24" s="99" t="s">
        <v>4638</v>
      </c>
      <c r="B24" s="95">
        <v>4080000</v>
      </c>
      <c r="C24" s="95">
        <v>4200000</v>
      </c>
      <c r="D24" s="95"/>
      <c r="E24" s="95"/>
      <c r="J24" s="219">
        <v>23</v>
      </c>
      <c r="K24" s="219" t="s">
        <v>4680</v>
      </c>
      <c r="L24" s="220">
        <v>4388600</v>
      </c>
      <c r="M24" s="219">
        <v>5</v>
      </c>
      <c r="N24" s="220">
        <f t="shared" si="1"/>
        <v>21943000</v>
      </c>
      <c r="O24" s="221" t="s">
        <v>4691</v>
      </c>
    </row>
    <row r="25" spans="1:20">
      <c r="A25" s="99" t="s">
        <v>4647</v>
      </c>
      <c r="B25" s="95">
        <v>4100000</v>
      </c>
      <c r="C25" s="95">
        <v>4230000</v>
      </c>
      <c r="D25" s="95"/>
      <c r="E25" s="95"/>
      <c r="J25" s="213">
        <v>24</v>
      </c>
      <c r="K25" s="213" t="s">
        <v>4681</v>
      </c>
      <c r="L25" s="113">
        <v>4445103</v>
      </c>
      <c r="M25" s="213">
        <v>1.5</v>
      </c>
      <c r="N25" s="113">
        <f t="shared" si="1"/>
        <v>6667654.5</v>
      </c>
      <c r="O25" s="99" t="s">
        <v>749</v>
      </c>
    </row>
    <row r="26" spans="1:20">
      <c r="A26" s="99" t="s">
        <v>4649</v>
      </c>
      <c r="B26" s="95">
        <v>4230000</v>
      </c>
      <c r="C26" s="95">
        <v>4330000</v>
      </c>
      <c r="D26" s="95">
        <v>12200</v>
      </c>
      <c r="E26" s="95">
        <v>12350</v>
      </c>
      <c r="J26" s="213">
        <v>25</v>
      </c>
      <c r="K26" s="213" t="s">
        <v>4681</v>
      </c>
      <c r="L26" s="113">
        <v>4445103</v>
      </c>
      <c r="M26" s="213">
        <v>1.5</v>
      </c>
      <c r="N26" s="113">
        <f t="shared" si="1"/>
        <v>6667654.5</v>
      </c>
      <c r="O26" s="99" t="s">
        <v>452</v>
      </c>
      <c r="R26" t="s">
        <v>25</v>
      </c>
    </row>
    <row r="27" spans="1:20">
      <c r="A27" s="99" t="s">
        <v>4660</v>
      </c>
      <c r="B27" s="95">
        <v>4270000</v>
      </c>
      <c r="C27" s="95">
        <v>4370000</v>
      </c>
      <c r="D27" s="95"/>
      <c r="E27" s="95"/>
      <c r="J27" s="213">
        <v>26</v>
      </c>
      <c r="K27" s="213" t="s">
        <v>4690</v>
      </c>
      <c r="L27" s="113">
        <v>4490623</v>
      </c>
      <c r="M27" s="213">
        <v>2</v>
      </c>
      <c r="N27" s="113">
        <f t="shared" si="1"/>
        <v>8981246</v>
      </c>
      <c r="O27" s="99" t="s">
        <v>749</v>
      </c>
      <c r="R27" t="s">
        <v>25</v>
      </c>
      <c r="S27" t="s">
        <v>25</v>
      </c>
    </row>
    <row r="28" spans="1:20">
      <c r="A28" s="99" t="s">
        <v>4668</v>
      </c>
      <c r="B28" s="95">
        <v>3980000</v>
      </c>
      <c r="C28" s="95">
        <v>4120000</v>
      </c>
      <c r="D28" s="95">
        <v>11450</v>
      </c>
      <c r="E28" s="95">
        <v>11650</v>
      </c>
      <c r="J28" s="213">
        <v>27</v>
      </c>
      <c r="K28" s="213" t="s">
        <v>4690</v>
      </c>
      <c r="L28" s="113">
        <v>4490623</v>
      </c>
      <c r="M28" s="213">
        <v>2</v>
      </c>
      <c r="N28" s="113">
        <f t="shared" si="1"/>
        <v>8981246</v>
      </c>
      <c r="O28" s="99" t="s">
        <v>452</v>
      </c>
    </row>
    <row r="29" spans="1:20">
      <c r="A29" s="99" t="s">
        <v>4670</v>
      </c>
      <c r="B29" s="95">
        <v>4120000</v>
      </c>
      <c r="C29" s="95">
        <v>4230000</v>
      </c>
      <c r="D29" s="95">
        <v>11650</v>
      </c>
      <c r="E29" s="95">
        <v>11750</v>
      </c>
      <c r="J29" s="213">
        <v>28</v>
      </c>
      <c r="K29" s="213" t="s">
        <v>3680</v>
      </c>
      <c r="L29" s="113">
        <v>4590878</v>
      </c>
      <c r="M29" s="213">
        <v>2</v>
      </c>
      <c r="N29" s="113">
        <f t="shared" si="1"/>
        <v>9181756</v>
      </c>
      <c r="O29" s="99" t="s">
        <v>749</v>
      </c>
    </row>
    <row r="30" spans="1:20">
      <c r="A30" s="99" t="s">
        <v>4671</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4677</v>
      </c>
      <c r="B31" s="95">
        <v>4130000</v>
      </c>
      <c r="C31" s="95">
        <v>4260000</v>
      </c>
      <c r="D31" s="95">
        <v>11850</v>
      </c>
      <c r="E31" s="95">
        <v>11950</v>
      </c>
      <c r="J31" s="213">
        <v>30</v>
      </c>
      <c r="K31" s="213" t="s">
        <v>4703</v>
      </c>
      <c r="L31" s="113">
        <v>4724483</v>
      </c>
      <c r="M31" s="213">
        <v>2.5</v>
      </c>
      <c r="N31" s="113">
        <f t="shared" si="1"/>
        <v>11811207.5</v>
      </c>
      <c r="O31" s="99" t="s">
        <v>749</v>
      </c>
    </row>
    <row r="32" spans="1:20">
      <c r="A32" s="99" t="s">
        <v>4679</v>
      </c>
      <c r="B32" s="95">
        <v>4100000</v>
      </c>
      <c r="C32" s="95">
        <v>4220000</v>
      </c>
      <c r="D32" s="95">
        <v>11800</v>
      </c>
      <c r="E32" s="95">
        <v>11980</v>
      </c>
      <c r="J32" s="213">
        <v>31</v>
      </c>
      <c r="K32" s="213" t="s">
        <v>4703</v>
      </c>
      <c r="L32" s="113">
        <v>4724483</v>
      </c>
      <c r="M32" s="213">
        <v>2.5</v>
      </c>
      <c r="N32" s="113">
        <f t="shared" si="1"/>
        <v>11811207.5</v>
      </c>
      <c r="O32" s="99" t="s">
        <v>452</v>
      </c>
    </row>
    <row r="33" spans="1:19">
      <c r="A33" s="99" t="s">
        <v>4680</v>
      </c>
      <c r="B33" s="95">
        <v>4220000</v>
      </c>
      <c r="C33" s="95">
        <v>4320000</v>
      </c>
      <c r="D33" s="95">
        <v>11900</v>
      </c>
      <c r="E33" s="95">
        <v>12050</v>
      </c>
      <c r="J33" s="213">
        <v>32</v>
      </c>
      <c r="K33" s="213" t="s">
        <v>4719</v>
      </c>
      <c r="L33" s="113">
        <v>4852712</v>
      </c>
      <c r="M33" s="213">
        <v>8.5</v>
      </c>
      <c r="N33" s="113">
        <f t="shared" si="1"/>
        <v>41248052</v>
      </c>
      <c r="O33" s="99" t="s">
        <v>749</v>
      </c>
    </row>
    <row r="34" spans="1:19">
      <c r="A34" s="99" t="s">
        <v>4681</v>
      </c>
      <c r="B34" s="95">
        <v>4240000</v>
      </c>
      <c r="C34" s="95">
        <v>4340000</v>
      </c>
      <c r="D34" s="95">
        <v>12100</v>
      </c>
      <c r="E34" s="95">
        <v>12250</v>
      </c>
      <c r="I34" t="s">
        <v>25</v>
      </c>
      <c r="J34" s="213">
        <v>33</v>
      </c>
      <c r="K34" s="213" t="s">
        <v>4719</v>
      </c>
      <c r="L34" s="113">
        <v>4852712</v>
      </c>
      <c r="M34" s="213">
        <v>8.5</v>
      </c>
      <c r="N34" s="113">
        <f t="shared" si="1"/>
        <v>41248052</v>
      </c>
      <c r="O34" s="99" t="s">
        <v>452</v>
      </c>
    </row>
    <row r="35" spans="1:19">
      <c r="A35" s="99" t="s">
        <v>4690</v>
      </c>
      <c r="B35" s="95">
        <v>4230000</v>
      </c>
      <c r="C35" s="95">
        <v>4370000</v>
      </c>
      <c r="D35" s="95">
        <v>12100</v>
      </c>
      <c r="E35" s="95">
        <v>12250</v>
      </c>
      <c r="J35" s="213">
        <v>34</v>
      </c>
      <c r="K35" s="213" t="s">
        <v>4721</v>
      </c>
      <c r="L35" s="113">
        <v>4977171</v>
      </c>
      <c r="M35" s="213">
        <v>7.5</v>
      </c>
      <c r="N35" s="113">
        <f t="shared" si="1"/>
        <v>37328782.5</v>
      </c>
      <c r="O35" s="99" t="s">
        <v>749</v>
      </c>
    </row>
    <row r="36" spans="1:19">
      <c r="A36" s="99" t="s">
        <v>3680</v>
      </c>
      <c r="B36" s="95">
        <v>4300000</v>
      </c>
      <c r="C36" s="95">
        <v>4420000</v>
      </c>
      <c r="D36" s="95">
        <v>12300</v>
      </c>
      <c r="E36" s="95">
        <v>12400</v>
      </c>
      <c r="J36" s="213">
        <v>35</v>
      </c>
      <c r="K36" s="213" t="s">
        <v>4721</v>
      </c>
      <c r="L36" s="113">
        <v>4977171</v>
      </c>
      <c r="M36" s="213">
        <v>7.5</v>
      </c>
      <c r="N36" s="113">
        <f t="shared" si="1"/>
        <v>37328782.5</v>
      </c>
      <c r="O36" s="99" t="s">
        <v>452</v>
      </c>
      <c r="R36" s="96"/>
    </row>
    <row r="37" spans="1:19">
      <c r="A37" s="99" t="s">
        <v>4703</v>
      </c>
      <c r="B37" s="95">
        <v>4370000</v>
      </c>
      <c r="C37" s="95">
        <v>4480000</v>
      </c>
      <c r="D37" s="95">
        <v>12600</v>
      </c>
      <c r="E37" s="95">
        <v>12700</v>
      </c>
      <c r="J37" s="213">
        <v>36</v>
      </c>
      <c r="K37" s="213" t="s">
        <v>4846</v>
      </c>
      <c r="L37" s="113">
        <v>5048479</v>
      </c>
      <c r="M37" s="213">
        <v>4</v>
      </c>
      <c r="N37" s="113">
        <f t="shared" si="1"/>
        <v>20193916</v>
      </c>
      <c r="O37" s="99" t="s">
        <v>749</v>
      </c>
    </row>
    <row r="38" spans="1:19">
      <c r="A38" s="99" t="s">
        <v>4707</v>
      </c>
      <c r="B38" s="95">
        <v>4470000</v>
      </c>
      <c r="C38" s="95">
        <v>4580000</v>
      </c>
      <c r="D38" s="95">
        <v>13050</v>
      </c>
      <c r="E38" s="95">
        <v>13200</v>
      </c>
      <c r="J38" s="213">
        <v>37</v>
      </c>
      <c r="K38" s="213" t="s">
        <v>4846</v>
      </c>
      <c r="L38" s="113">
        <v>5048479</v>
      </c>
      <c r="M38" s="213">
        <v>9</v>
      </c>
      <c r="N38" s="113">
        <f t="shared" si="1"/>
        <v>45436311</v>
      </c>
      <c r="O38" s="99" t="s">
        <v>452</v>
      </c>
    </row>
    <row r="39" spans="1:19">
      <c r="A39" s="99" t="s">
        <v>4713</v>
      </c>
      <c r="B39" s="95">
        <v>4600000</v>
      </c>
      <c r="C39" s="95">
        <v>4720000</v>
      </c>
      <c r="D39" s="95"/>
      <c r="E39" s="95"/>
      <c r="J39" s="213"/>
      <c r="K39" s="213"/>
      <c r="L39" s="113"/>
      <c r="M39" s="213"/>
      <c r="N39" s="113"/>
      <c r="O39" s="99"/>
    </row>
    <row r="40" spans="1:19">
      <c r="A40" s="99" t="s">
        <v>4719</v>
      </c>
      <c r="B40" s="95">
        <v>4530000</v>
      </c>
      <c r="C40" s="95">
        <v>4680000</v>
      </c>
      <c r="D40" s="95">
        <v>13000</v>
      </c>
      <c r="E40" s="95">
        <v>13150</v>
      </c>
      <c r="J40" s="168"/>
      <c r="K40" s="168"/>
      <c r="L40" s="113" t="s">
        <v>25</v>
      </c>
      <c r="M40" s="168"/>
      <c r="N40" s="113"/>
      <c r="O40" s="99"/>
    </row>
    <row r="41" spans="1:19">
      <c r="A41" s="99" t="s">
        <v>4721</v>
      </c>
      <c r="B41" s="95">
        <v>4750000</v>
      </c>
      <c r="C41" s="95">
        <v>4900000</v>
      </c>
      <c r="D41" s="95">
        <v>13750</v>
      </c>
      <c r="E41" s="95">
        <v>13900</v>
      </c>
      <c r="J41" s="168"/>
      <c r="K41" s="168"/>
      <c r="L41" s="168"/>
      <c r="M41" s="168">
        <f>SUM(M2:M40)</f>
        <v>140</v>
      </c>
      <c r="N41" s="113">
        <f>SUM(N2:N40)</f>
        <v>618472600</v>
      </c>
      <c r="O41" s="169">
        <f>N41/(M41-3)</f>
        <v>4514398.5401459858</v>
      </c>
    </row>
    <row r="42" spans="1:19">
      <c r="A42" s="99" t="s">
        <v>4728</v>
      </c>
      <c r="B42" s="95">
        <v>4700000</v>
      </c>
      <c r="C42" s="95">
        <v>4850000</v>
      </c>
      <c r="D42" s="95">
        <v>13650</v>
      </c>
      <c r="E42" s="95">
        <v>13800</v>
      </c>
      <c r="J42" s="168"/>
      <c r="K42" s="168"/>
      <c r="L42" s="168"/>
      <c r="M42" s="168" t="s">
        <v>6</v>
      </c>
      <c r="N42" s="168"/>
      <c r="O42" s="99"/>
      <c r="P42">
        <f>O44/2</f>
        <v>37328780.5</v>
      </c>
      <c r="Q42">
        <f>O44/15</f>
        <v>4977170.7333333334</v>
      </c>
    </row>
    <row r="43" spans="1:19">
      <c r="A43" s="99" t="s">
        <v>4734</v>
      </c>
      <c r="B43" s="95">
        <v>4550000</v>
      </c>
      <c r="C43" s="95">
        <v>4750000</v>
      </c>
      <c r="D43" s="95">
        <v>13400</v>
      </c>
      <c r="E43" s="95">
        <v>13500</v>
      </c>
      <c r="M43" s="113">
        <f>N41/(M41-3)</f>
        <v>4514398.5401459858</v>
      </c>
      <c r="S43" t="s">
        <v>25</v>
      </c>
    </row>
    <row r="44" spans="1:19">
      <c r="A44" s="99" t="s">
        <v>4742</v>
      </c>
      <c r="B44" s="95">
        <v>4580000</v>
      </c>
      <c r="C44" s="95">
        <v>4750000</v>
      </c>
      <c r="D44" s="95">
        <v>13350</v>
      </c>
      <c r="E44" s="95">
        <v>13500</v>
      </c>
      <c r="I44" s="41"/>
      <c r="M44" s="41" t="s">
        <v>4508</v>
      </c>
      <c r="N44" t="s">
        <v>25</v>
      </c>
      <c r="O44" s="223">
        <v>74657561</v>
      </c>
      <c r="R44" t="s">
        <v>25</v>
      </c>
    </row>
    <row r="45" spans="1:19">
      <c r="A45" s="99" t="s">
        <v>4750</v>
      </c>
      <c r="B45" s="95">
        <v>4500000</v>
      </c>
      <c r="C45" s="95">
        <v>4650000</v>
      </c>
      <c r="D45" s="95">
        <v>13250</v>
      </c>
      <c r="E45" s="95">
        <v>13450</v>
      </c>
    </row>
    <row r="46" spans="1:19">
      <c r="A46" s="99" t="s">
        <v>4755</v>
      </c>
      <c r="B46" s="95">
        <v>4620000</v>
      </c>
      <c r="C46" s="95">
        <v>4770000</v>
      </c>
      <c r="D46" s="95">
        <v>13600</v>
      </c>
      <c r="E46" s="95">
        <v>13700</v>
      </c>
    </row>
    <row r="47" spans="1:19">
      <c r="A47" s="99" t="s">
        <v>4759</v>
      </c>
      <c r="B47" s="95">
        <v>4400000</v>
      </c>
      <c r="C47" s="95">
        <v>4600000</v>
      </c>
      <c r="D47" s="95">
        <v>13200</v>
      </c>
      <c r="E47" s="95">
        <v>13400</v>
      </c>
      <c r="L47">
        <f>140-M41</f>
        <v>0</v>
      </c>
      <c r="M47">
        <f>70-M2-M4-M5-M7-M9-M10-M12-M14-M16-M18-M20-M22-M25-M27-M29-M31-M33-M35-M37</f>
        <v>0</v>
      </c>
      <c r="N47" t="s">
        <v>483</v>
      </c>
    </row>
    <row r="48" spans="1:19">
      <c r="A48" s="99" t="s">
        <v>4760</v>
      </c>
      <c r="B48" s="95">
        <v>4250000</v>
      </c>
      <c r="C48" s="95">
        <v>4450000</v>
      </c>
      <c r="D48" s="95">
        <v>12750</v>
      </c>
      <c r="E48" s="95">
        <v>12900</v>
      </c>
      <c r="M48">
        <f>65-M3-M6-M8-M11-M13-M15-M17-M19-M21-M23-M26-M28-M30-M32-M34-M36-M38</f>
        <v>0</v>
      </c>
      <c r="N48" t="s">
        <v>5</v>
      </c>
    </row>
    <row r="49" spans="1:17">
      <c r="A49" s="99" t="s">
        <v>4768</v>
      </c>
      <c r="B49" s="95">
        <v>4380000</v>
      </c>
      <c r="C49" s="95">
        <v>4520000</v>
      </c>
      <c r="D49" s="95">
        <v>12750</v>
      </c>
      <c r="E49" s="95">
        <v>12900</v>
      </c>
      <c r="K49">
        <v>16</v>
      </c>
      <c r="L49" s="223">
        <v>807756734</v>
      </c>
      <c r="M49">
        <f>L49/16</f>
        <v>50484795.875</v>
      </c>
      <c r="N49">
        <f>M49*4</f>
        <v>201939183.5</v>
      </c>
    </row>
    <row r="50" spans="1:17">
      <c r="A50" s="99" t="s">
        <v>4771</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4792</v>
      </c>
      <c r="B52" s="95">
        <v>4480000</v>
      </c>
      <c r="C52" s="95">
        <v>4600000</v>
      </c>
      <c r="D52" s="95">
        <v>13050</v>
      </c>
      <c r="E52" s="95">
        <v>13200</v>
      </c>
      <c r="K52" s="168" t="s">
        <v>4517</v>
      </c>
      <c r="L52" s="168" t="s">
        <v>1082</v>
      </c>
      <c r="M52" s="168" t="s">
        <v>4233</v>
      </c>
      <c r="N52" s="168" t="s">
        <v>4534</v>
      </c>
      <c r="O52" s="168"/>
    </row>
    <row r="53" spans="1:17">
      <c r="A53" s="99" t="s">
        <v>4794</v>
      </c>
      <c r="B53" s="95">
        <v>4400000</v>
      </c>
      <c r="C53" s="95">
        <v>4550000</v>
      </c>
      <c r="D53" s="95">
        <v>12850</v>
      </c>
      <c r="E53" s="95">
        <v>13000</v>
      </c>
      <c r="K53" s="168" t="s">
        <v>4507</v>
      </c>
      <c r="L53" s="168">
        <v>3390000</v>
      </c>
      <c r="M53" s="168">
        <v>161.4</v>
      </c>
      <c r="N53" s="168">
        <f>L53/M53</f>
        <v>21003.717472118959</v>
      </c>
      <c r="O53" s="168"/>
    </row>
    <row r="54" spans="1:17">
      <c r="A54" s="99" t="s">
        <v>4796</v>
      </c>
      <c r="B54" s="95">
        <v>4400000</v>
      </c>
      <c r="C54" s="95">
        <v>4520000</v>
      </c>
      <c r="D54" s="95">
        <v>12800</v>
      </c>
      <c r="E54" s="95">
        <v>12950</v>
      </c>
      <c r="K54" s="168"/>
      <c r="L54" s="168"/>
      <c r="M54" s="168"/>
      <c r="N54" s="168"/>
      <c r="O54" s="168"/>
    </row>
    <row r="55" spans="1:17">
      <c r="A55" s="99" t="s">
        <v>4799</v>
      </c>
      <c r="B55" s="95">
        <v>4460000</v>
      </c>
      <c r="C55" s="95">
        <v>4580000</v>
      </c>
      <c r="D55" s="95">
        <v>12850</v>
      </c>
      <c r="E55" s="95">
        <v>13000</v>
      </c>
      <c r="K55" s="168"/>
      <c r="L55" s="168"/>
      <c r="M55" s="168"/>
      <c r="N55" s="168"/>
      <c r="O55" s="168"/>
    </row>
    <row r="56" spans="1:17">
      <c r="A56" s="99" t="s">
        <v>4805</v>
      </c>
      <c r="B56" s="95">
        <v>4500000</v>
      </c>
      <c r="C56" s="95">
        <v>4620000</v>
      </c>
      <c r="D56" s="95">
        <v>13000</v>
      </c>
      <c r="E56" s="95">
        <v>13200</v>
      </c>
      <c r="K56" s="168"/>
      <c r="L56" s="168"/>
      <c r="M56" s="168"/>
      <c r="N56" s="168"/>
      <c r="O56" s="168"/>
    </row>
    <row r="57" spans="1:17">
      <c r="A57" s="99" t="s">
        <v>4810</v>
      </c>
      <c r="B57" s="95">
        <v>4450000</v>
      </c>
      <c r="C57" s="95">
        <v>4600000</v>
      </c>
      <c r="D57" s="95">
        <v>12850</v>
      </c>
      <c r="E57" s="95">
        <v>13050</v>
      </c>
      <c r="K57" s="168"/>
      <c r="L57" s="168"/>
      <c r="M57" s="168"/>
      <c r="N57" s="168"/>
      <c r="O57" s="168"/>
    </row>
    <row r="58" spans="1:17">
      <c r="A58" s="99" t="s">
        <v>4819</v>
      </c>
      <c r="B58" s="95">
        <v>4500000</v>
      </c>
      <c r="C58" s="95">
        <v>4650000</v>
      </c>
      <c r="D58" s="95">
        <v>12900</v>
      </c>
      <c r="E58" s="95">
        <v>13100</v>
      </c>
      <c r="K58" s="168"/>
      <c r="L58" s="168"/>
      <c r="M58" s="168"/>
      <c r="N58" s="168"/>
      <c r="O58" s="168"/>
    </row>
    <row r="59" spans="1:17">
      <c r="A59" s="99" t="s">
        <v>4846</v>
      </c>
      <c r="B59" s="95">
        <v>4700000</v>
      </c>
      <c r="C59" s="95">
        <v>4800000</v>
      </c>
      <c r="D59" s="95">
        <v>13300</v>
      </c>
      <c r="E59" s="95">
        <v>13450</v>
      </c>
      <c r="K59" s="168"/>
      <c r="L59" s="168"/>
      <c r="M59" s="168"/>
      <c r="N59" s="168"/>
      <c r="O59" s="168"/>
    </row>
    <row r="60" spans="1:17">
      <c r="A60" s="99" t="s">
        <v>4847</v>
      </c>
      <c r="B60" s="95">
        <v>4750000</v>
      </c>
      <c r="C60" s="95">
        <v>4850000</v>
      </c>
      <c r="D60" s="95">
        <v>13500</v>
      </c>
      <c r="E60" s="95">
        <v>13650</v>
      </c>
      <c r="K60" s="168"/>
      <c r="L60" s="168"/>
      <c r="M60" s="168"/>
      <c r="N60" s="168"/>
      <c r="O60" s="168"/>
    </row>
    <row r="61" spans="1:17">
      <c r="A61" s="99" t="s">
        <v>4855</v>
      </c>
      <c r="B61" s="95">
        <v>4850000</v>
      </c>
      <c r="C61" s="95">
        <v>4950000</v>
      </c>
      <c r="D61" s="95">
        <v>13750</v>
      </c>
      <c r="E61" s="95">
        <v>13900</v>
      </c>
    </row>
    <row r="62" spans="1:17">
      <c r="A62" s="99" t="s">
        <v>4871</v>
      </c>
      <c r="B62" s="95">
        <v>4680000</v>
      </c>
      <c r="C62" s="95">
        <v>4780000</v>
      </c>
      <c r="D62" s="95">
        <v>13500</v>
      </c>
      <c r="E62" s="95">
        <v>13650</v>
      </c>
    </row>
    <row r="63" spans="1:17">
      <c r="A63" s="99" t="s">
        <v>4967</v>
      </c>
      <c r="B63" s="95">
        <v>4700000</v>
      </c>
      <c r="C63" s="95">
        <v>4830000</v>
      </c>
      <c r="D63" s="95">
        <v>13850</v>
      </c>
      <c r="E63" s="95">
        <v>14050</v>
      </c>
      <c r="I63" s="213" t="s">
        <v>8</v>
      </c>
      <c r="J63" s="213" t="s">
        <v>4731</v>
      </c>
      <c r="K63" s="213" t="s">
        <v>180</v>
      </c>
      <c r="L63" s="226" t="s">
        <v>4729</v>
      </c>
      <c r="M63" s="226" t="s">
        <v>4730</v>
      </c>
      <c r="N63" s="213" t="s">
        <v>6</v>
      </c>
      <c r="O63" s="213" t="s">
        <v>4732</v>
      </c>
      <c r="P63" s="213" t="s">
        <v>4744</v>
      </c>
    </row>
    <row r="64" spans="1:17">
      <c r="A64" s="99" t="s">
        <v>5019</v>
      </c>
      <c r="B64" s="95">
        <v>4600000</v>
      </c>
      <c r="C64" s="95">
        <v>4700000</v>
      </c>
      <c r="D64" s="95">
        <v>13300</v>
      </c>
      <c r="E64" s="95">
        <v>13500</v>
      </c>
      <c r="G64" t="s">
        <v>25</v>
      </c>
      <c r="I64" s="213"/>
      <c r="J64" s="213"/>
      <c r="K64" s="213" t="s">
        <v>4680</v>
      </c>
      <c r="L64" s="84">
        <v>535989412</v>
      </c>
      <c r="M64" s="84"/>
      <c r="N64" s="213"/>
      <c r="O64" s="213"/>
      <c r="P64" s="213"/>
      <c r="Q64" s="84">
        <v>0</v>
      </c>
    </row>
    <row r="65" spans="1:17">
      <c r="A65" s="99" t="s">
        <v>5063</v>
      </c>
      <c r="B65" s="95">
        <v>4520000</v>
      </c>
      <c r="C65" s="95">
        <v>4620000</v>
      </c>
      <c r="D65" s="95">
        <v>12950</v>
      </c>
      <c r="E65" s="95">
        <v>13150</v>
      </c>
      <c r="I65" s="213"/>
      <c r="J65" s="113">
        <f>L65-L64</f>
        <v>12939932</v>
      </c>
      <c r="K65" s="213" t="s">
        <v>4707</v>
      </c>
      <c r="L65" s="84">
        <v>548929344</v>
      </c>
      <c r="M65" s="84"/>
      <c r="N65" s="213"/>
      <c r="O65" s="213"/>
      <c r="P65" s="213"/>
      <c r="Q65" s="84">
        <v>0</v>
      </c>
    </row>
    <row r="66" spans="1:17">
      <c r="A66" s="99" t="s">
        <v>5098</v>
      </c>
      <c r="B66" s="95">
        <v>3900000</v>
      </c>
      <c r="C66" s="95">
        <v>4050000</v>
      </c>
      <c r="D66" s="95">
        <v>10900</v>
      </c>
      <c r="E66" s="95">
        <v>11150</v>
      </c>
      <c r="F66" t="s">
        <v>25</v>
      </c>
      <c r="I66" s="213"/>
      <c r="J66" s="113">
        <f t="shared" ref="J66:J88" si="2">L66-L65</f>
        <v>11531981</v>
      </c>
      <c r="K66" s="213" t="s">
        <v>4713</v>
      </c>
      <c r="L66" s="84">
        <v>560461325</v>
      </c>
      <c r="M66" s="84"/>
      <c r="N66" s="213"/>
      <c r="O66" s="213"/>
      <c r="P66" s="213"/>
      <c r="Q66" s="84">
        <v>0</v>
      </c>
    </row>
    <row r="67" spans="1:17">
      <c r="A67" s="99" t="s">
        <v>5142</v>
      </c>
      <c r="B67" s="95">
        <v>3950000</v>
      </c>
      <c r="C67" s="95">
        <v>4070000</v>
      </c>
      <c r="D67" s="95">
        <v>11000</v>
      </c>
      <c r="E67" s="95">
        <v>11200</v>
      </c>
      <c r="I67" s="213"/>
      <c r="J67" s="113">
        <f t="shared" si="2"/>
        <v>17387769</v>
      </c>
      <c r="K67" s="213" t="s">
        <v>4719</v>
      </c>
      <c r="L67" s="84">
        <v>577849094</v>
      </c>
      <c r="M67" s="84"/>
      <c r="N67" s="213"/>
      <c r="O67" s="213"/>
      <c r="P67" s="213"/>
      <c r="Q67" s="84">
        <v>0</v>
      </c>
    </row>
    <row r="68" spans="1:17">
      <c r="A68" s="99" t="s">
        <v>5145</v>
      </c>
      <c r="B68" s="95">
        <v>4050000</v>
      </c>
      <c r="C68" s="95">
        <v>4150000</v>
      </c>
      <c r="D68" s="95">
        <v>11150</v>
      </c>
      <c r="E68" s="95">
        <v>11350</v>
      </c>
      <c r="I68" s="213"/>
      <c r="J68" s="113">
        <f t="shared" si="2"/>
        <v>11024486</v>
      </c>
      <c r="K68" s="213" t="s">
        <v>4721</v>
      </c>
      <c r="L68" s="84">
        <v>588873580</v>
      </c>
      <c r="M68" s="84">
        <v>250255923</v>
      </c>
      <c r="N68" s="113">
        <f>L68+M68</f>
        <v>839129503</v>
      </c>
      <c r="O68" s="113">
        <f>M68-M67</f>
        <v>250255923</v>
      </c>
      <c r="P68" s="113">
        <f>N68-N67</f>
        <v>839129503</v>
      </c>
      <c r="Q68" s="84">
        <v>0</v>
      </c>
    </row>
    <row r="69" spans="1:17">
      <c r="A69" s="99" t="s">
        <v>5166</v>
      </c>
      <c r="B69" s="95">
        <v>4060000</v>
      </c>
      <c r="C69" s="95">
        <v>4160000</v>
      </c>
      <c r="D69" s="95">
        <v>11500</v>
      </c>
      <c r="E69" s="95">
        <v>11700</v>
      </c>
      <c r="I69" s="213"/>
      <c r="J69" s="113">
        <f t="shared" si="2"/>
        <v>-8942851</v>
      </c>
      <c r="K69" s="213" t="s">
        <v>4728</v>
      </c>
      <c r="L69" s="229">
        <v>579930729</v>
      </c>
      <c r="M69" s="84">
        <v>247714729</v>
      </c>
      <c r="N69" s="113">
        <f t="shared" ref="N69:N91" si="3">L69+M69</f>
        <v>827645458</v>
      </c>
      <c r="O69" s="113">
        <f t="shared" ref="O69:O88" si="4">M69-M68</f>
        <v>-2541194</v>
      </c>
      <c r="P69" s="113">
        <f t="shared" ref="P69:P88" si="5">N69-N68</f>
        <v>-11484045</v>
      </c>
      <c r="Q69" s="84">
        <v>0</v>
      </c>
    </row>
    <row r="70" spans="1:17">
      <c r="A70" s="99" t="s">
        <v>5168</v>
      </c>
      <c r="B70" s="95">
        <v>4020000</v>
      </c>
      <c r="C70" s="95">
        <v>4120000</v>
      </c>
      <c r="D70" s="95">
        <v>11400</v>
      </c>
      <c r="E70" s="95">
        <v>11600</v>
      </c>
      <c r="I70" s="5" t="s">
        <v>4741</v>
      </c>
      <c r="J70" s="35">
        <f t="shared" si="2"/>
        <v>45893629</v>
      </c>
      <c r="K70" s="5" t="s">
        <v>4734</v>
      </c>
      <c r="L70" s="234">
        <v>625824358</v>
      </c>
      <c r="M70" s="234">
        <v>243028777</v>
      </c>
      <c r="N70" s="35">
        <f t="shared" si="3"/>
        <v>868853135</v>
      </c>
      <c r="O70" s="35">
        <f t="shared" si="4"/>
        <v>-4685952</v>
      </c>
      <c r="P70" s="35">
        <f>N70-N69-50000000</f>
        <v>-8792323</v>
      </c>
      <c r="Q70" s="84">
        <v>50000000</v>
      </c>
    </row>
    <row r="71" spans="1:17">
      <c r="A71" s="99" t="s">
        <v>5174</v>
      </c>
      <c r="B71" s="95">
        <v>3930000</v>
      </c>
      <c r="C71" s="95">
        <v>4030000</v>
      </c>
      <c r="D71" s="95">
        <v>11100</v>
      </c>
      <c r="E71" s="95">
        <v>11300</v>
      </c>
      <c r="I71" s="213"/>
      <c r="J71" s="113">
        <f t="shared" si="2"/>
        <v>3462014</v>
      </c>
      <c r="K71" s="213" t="s">
        <v>4742</v>
      </c>
      <c r="L71" s="84">
        <v>629286372</v>
      </c>
      <c r="M71" s="84">
        <v>246690884</v>
      </c>
      <c r="N71" s="113">
        <f t="shared" si="3"/>
        <v>875977256</v>
      </c>
      <c r="O71" s="113">
        <f t="shared" si="4"/>
        <v>3662107</v>
      </c>
      <c r="P71" s="113">
        <f t="shared" si="5"/>
        <v>7124121</v>
      </c>
      <c r="Q71" s="84">
        <v>0</v>
      </c>
    </row>
    <row r="72" spans="1:17">
      <c r="A72" s="99" t="s">
        <v>5177</v>
      </c>
      <c r="B72" s="95">
        <v>3950000</v>
      </c>
      <c r="C72" s="95">
        <v>4050000</v>
      </c>
      <c r="D72" s="95">
        <v>11200</v>
      </c>
      <c r="E72" s="95">
        <v>11300</v>
      </c>
      <c r="I72" s="213"/>
      <c r="J72" s="113">
        <f t="shared" si="2"/>
        <v>-2687296</v>
      </c>
      <c r="K72" s="213" t="s">
        <v>4755</v>
      </c>
      <c r="L72" s="84">
        <v>626599076</v>
      </c>
      <c r="M72" s="84">
        <v>244530128</v>
      </c>
      <c r="N72" s="113">
        <f t="shared" si="3"/>
        <v>871129204</v>
      </c>
      <c r="O72" s="113">
        <f t="shared" si="4"/>
        <v>-2160756</v>
      </c>
      <c r="P72" s="113">
        <f t="shared" si="5"/>
        <v>-4848052</v>
      </c>
      <c r="Q72" s="84">
        <v>0</v>
      </c>
    </row>
    <row r="73" spans="1:17">
      <c r="A73" s="99" t="s">
        <v>5178</v>
      </c>
      <c r="B73" s="95">
        <v>3970000</v>
      </c>
      <c r="C73" s="95">
        <v>4070000</v>
      </c>
      <c r="D73" s="95">
        <v>11250</v>
      </c>
      <c r="E73" s="95">
        <v>11400</v>
      </c>
      <c r="I73" s="213"/>
      <c r="J73" s="113">
        <f t="shared" si="2"/>
        <v>-6009466</v>
      </c>
      <c r="K73" s="213" t="s">
        <v>4759</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4760</v>
      </c>
      <c r="L74" s="84">
        <v>619316539</v>
      </c>
      <c r="M74" s="84">
        <v>242985726</v>
      </c>
      <c r="N74" s="113">
        <f t="shared" si="3"/>
        <v>862302265</v>
      </c>
      <c r="O74" s="113">
        <f t="shared" si="4"/>
        <v>18042</v>
      </c>
      <c r="P74" s="113">
        <f t="shared" si="5"/>
        <v>-1255029</v>
      </c>
      <c r="Q74" s="84">
        <v>0</v>
      </c>
    </row>
    <row r="75" spans="1:17">
      <c r="A75" s="99" t="s">
        <v>5180</v>
      </c>
      <c r="B75" s="95">
        <v>4020000</v>
      </c>
      <c r="C75" s="95">
        <v>4120000</v>
      </c>
      <c r="D75" s="95">
        <v>11350</v>
      </c>
      <c r="E75" s="95">
        <v>11500</v>
      </c>
      <c r="I75" s="213"/>
      <c r="J75" s="113">
        <f t="shared" si="2"/>
        <v>112274</v>
      </c>
      <c r="K75" s="213" t="s">
        <v>4768</v>
      </c>
      <c r="L75" s="84">
        <v>619428813</v>
      </c>
      <c r="M75" s="84">
        <v>242060147</v>
      </c>
      <c r="N75" s="113">
        <f t="shared" si="3"/>
        <v>861488960</v>
      </c>
      <c r="O75" s="113">
        <f t="shared" si="4"/>
        <v>-925579</v>
      </c>
      <c r="P75" s="113">
        <f t="shared" si="5"/>
        <v>-813305</v>
      </c>
      <c r="Q75" s="84">
        <v>0</v>
      </c>
    </row>
    <row r="76" spans="1:17">
      <c r="A76" s="99" t="s">
        <v>5183</v>
      </c>
      <c r="B76" s="95">
        <v>4000000</v>
      </c>
      <c r="C76" s="95">
        <v>4100000</v>
      </c>
      <c r="D76" s="95">
        <v>11250</v>
      </c>
      <c r="E76" s="95">
        <v>11400</v>
      </c>
      <c r="G76" t="s">
        <v>25</v>
      </c>
      <c r="I76" s="213"/>
      <c r="J76" s="113">
        <f t="shared" si="2"/>
        <v>6567221</v>
      </c>
      <c r="K76" s="213" t="s">
        <v>4771</v>
      </c>
      <c r="L76" s="84">
        <v>625996034</v>
      </c>
      <c r="M76" s="84">
        <v>242597875</v>
      </c>
      <c r="N76" s="113">
        <f t="shared" si="3"/>
        <v>868593909</v>
      </c>
      <c r="O76" s="113">
        <f t="shared" si="4"/>
        <v>537728</v>
      </c>
      <c r="P76" s="113">
        <f t="shared" si="5"/>
        <v>7104949</v>
      </c>
      <c r="Q76" s="84">
        <v>0</v>
      </c>
    </row>
    <row r="77" spans="1:17">
      <c r="A77" s="99" t="s">
        <v>5227</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4792</v>
      </c>
      <c r="L78" s="84">
        <v>636519641</v>
      </c>
      <c r="M78" s="84">
        <v>248242879</v>
      </c>
      <c r="N78" s="113">
        <f t="shared" si="3"/>
        <v>884762520</v>
      </c>
      <c r="O78" s="113">
        <f t="shared" si="4"/>
        <v>4357917</v>
      </c>
      <c r="P78" s="113">
        <f t="shared" si="5"/>
        <v>10404473</v>
      </c>
      <c r="Q78" s="84">
        <v>0</v>
      </c>
    </row>
    <row r="79" spans="1:17">
      <c r="A79" s="99" t="s">
        <v>5235</v>
      </c>
      <c r="B79" s="95">
        <v>3940000</v>
      </c>
      <c r="C79" s="95">
        <v>4020000</v>
      </c>
      <c r="D79" s="95">
        <v>11250</v>
      </c>
      <c r="E79" s="95">
        <v>11450</v>
      </c>
      <c r="I79" s="213"/>
      <c r="J79" s="113">
        <f t="shared" si="2"/>
        <v>6885870</v>
      </c>
      <c r="K79" s="213" t="s">
        <v>4794</v>
      </c>
      <c r="L79" s="84">
        <v>643405511</v>
      </c>
      <c r="M79" s="84">
        <v>252682386</v>
      </c>
      <c r="N79" s="113">
        <f t="shared" si="3"/>
        <v>896087897</v>
      </c>
      <c r="O79" s="113">
        <f t="shared" si="4"/>
        <v>4439507</v>
      </c>
      <c r="P79" s="113">
        <f t="shared" si="5"/>
        <v>11325377</v>
      </c>
      <c r="Q79" s="84">
        <v>0</v>
      </c>
    </row>
    <row r="80" spans="1:17">
      <c r="A80" s="99" t="s">
        <v>5238</v>
      </c>
      <c r="B80" s="95">
        <v>3940000</v>
      </c>
      <c r="C80" s="95">
        <v>4020000</v>
      </c>
      <c r="D80" s="95">
        <v>11250</v>
      </c>
      <c r="E80" s="95">
        <v>11450</v>
      </c>
      <c r="G80" t="s">
        <v>25</v>
      </c>
      <c r="I80" s="5" t="s">
        <v>4809</v>
      </c>
      <c r="J80" s="35">
        <f t="shared" si="2"/>
        <v>-1984018</v>
      </c>
      <c r="K80" s="5" t="s">
        <v>4796</v>
      </c>
      <c r="L80" s="234">
        <v>641421493</v>
      </c>
      <c r="M80" s="234">
        <v>250864833</v>
      </c>
      <c r="N80" s="35">
        <f t="shared" si="3"/>
        <v>892286326</v>
      </c>
      <c r="O80" s="35">
        <f t="shared" si="4"/>
        <v>-1817553</v>
      </c>
      <c r="P80" s="35">
        <f>N80-N79-2000000</f>
        <v>-5801571</v>
      </c>
      <c r="Q80" s="84">
        <v>2000000</v>
      </c>
    </row>
    <row r="81" spans="1:21">
      <c r="A81" s="99" t="s">
        <v>5239</v>
      </c>
      <c r="B81" s="95">
        <v>3940000</v>
      </c>
      <c r="C81" s="95">
        <v>4020000</v>
      </c>
      <c r="D81" s="95">
        <v>11300</v>
      </c>
      <c r="E81" s="95">
        <v>11450</v>
      </c>
      <c r="I81" s="213"/>
      <c r="J81" s="113">
        <f t="shared" si="2"/>
        <v>6117877</v>
      </c>
      <c r="K81" s="213" t="s">
        <v>4799</v>
      </c>
      <c r="L81" s="84">
        <v>647539370</v>
      </c>
      <c r="M81" s="84">
        <v>254691103</v>
      </c>
      <c r="N81" s="220">
        <f t="shared" si="3"/>
        <v>902230473</v>
      </c>
      <c r="O81" s="113">
        <f t="shared" si="4"/>
        <v>3826270</v>
      </c>
      <c r="P81" s="113">
        <f t="shared" si="5"/>
        <v>9944147</v>
      </c>
      <c r="Q81" s="84">
        <v>0</v>
      </c>
    </row>
    <row r="82" spans="1:21">
      <c r="A82" s="99" t="s">
        <v>5242</v>
      </c>
      <c r="B82" s="95">
        <v>3970000</v>
      </c>
      <c r="C82" s="95">
        <v>4030000</v>
      </c>
      <c r="D82" s="95">
        <v>11300</v>
      </c>
      <c r="E82" s="95">
        <v>11500</v>
      </c>
      <c r="I82" s="236" t="s">
        <v>4808</v>
      </c>
      <c r="J82" s="86">
        <f t="shared" si="2"/>
        <v>8860702</v>
      </c>
      <c r="K82" s="191" t="s">
        <v>4805</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4817</v>
      </c>
      <c r="J83" s="86">
        <f>L83-L82+31412200</f>
        <v>20439704</v>
      </c>
      <c r="K83" s="191" t="s">
        <v>4810</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4818</v>
      </c>
      <c r="J84" s="188">
        <f t="shared" si="2"/>
        <v>21224293</v>
      </c>
      <c r="K84" s="189" t="s">
        <v>4819</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4825</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4836</v>
      </c>
      <c r="J87" s="196">
        <f>L87-L86-20000</f>
        <v>7878257</v>
      </c>
      <c r="K87" s="190" t="s">
        <v>4826</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4838</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4839</v>
      </c>
      <c r="L89" s="84">
        <v>680635139</v>
      </c>
      <c r="M89" s="84">
        <v>313005875</v>
      </c>
      <c r="N89" s="113">
        <f t="shared" si="3"/>
        <v>993641014</v>
      </c>
      <c r="O89" s="113">
        <f>M89-M88</f>
        <v>1182704</v>
      </c>
      <c r="P89" s="113">
        <f>N89-N88</f>
        <v>-10992387</v>
      </c>
      <c r="Q89" s="84">
        <v>0</v>
      </c>
    </row>
    <row r="90" spans="1:21">
      <c r="A90" s="99"/>
      <c r="B90" s="95"/>
      <c r="C90" s="95"/>
      <c r="D90" s="95"/>
      <c r="E90" s="95"/>
      <c r="I90" s="190" t="s">
        <v>4864</v>
      </c>
      <c r="J90" s="196">
        <f>L90-L89-1000000</f>
        <v>3840350</v>
      </c>
      <c r="K90" s="190" t="s">
        <v>4846</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4847</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4855</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4856</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4857</v>
      </c>
      <c r="L94" s="84">
        <v>698450869</v>
      </c>
      <c r="M94" s="84">
        <v>316326929</v>
      </c>
      <c r="N94" s="220">
        <f t="shared" si="9"/>
        <v>1014777798</v>
      </c>
      <c r="O94" s="113">
        <f t="shared" si="10"/>
        <v>3826929</v>
      </c>
      <c r="P94" s="113">
        <f t="shared" si="11"/>
        <v>14277798</v>
      </c>
      <c r="Q94" s="84">
        <v>0</v>
      </c>
    </row>
    <row r="95" spans="1:21">
      <c r="I95" s="190" t="s">
        <v>4863</v>
      </c>
      <c r="J95" s="196">
        <f>L95-L94-2520000</f>
        <v>-274657</v>
      </c>
      <c r="K95" s="190" t="s">
        <v>4860</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4865</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4866</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4868</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4869</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4871</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4872</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4875</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4874</v>
      </c>
      <c r="L103" s="84">
        <v>716288384</v>
      </c>
      <c r="M103" s="84">
        <v>320388494</v>
      </c>
      <c r="N103" s="113">
        <f t="shared" si="12"/>
        <v>1036676878</v>
      </c>
      <c r="O103" s="113">
        <f t="shared" si="13"/>
        <v>1388494</v>
      </c>
      <c r="P103" s="113">
        <f t="shared" si="14"/>
        <v>1676878</v>
      </c>
      <c r="Q103" s="84">
        <v>0</v>
      </c>
    </row>
    <row r="104" spans="3:20">
      <c r="I104" s="190" t="s">
        <v>4918</v>
      </c>
      <c r="J104" s="196">
        <f>L104-L103-1400000</f>
        <v>-1688384</v>
      </c>
      <c r="K104" s="190" t="s">
        <v>4915</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4917</v>
      </c>
      <c r="L105" s="84">
        <v>724529471</v>
      </c>
      <c r="M105" s="84">
        <v>326836192</v>
      </c>
      <c r="N105" s="220">
        <f t="shared" si="12"/>
        <v>1051365663</v>
      </c>
      <c r="O105" s="113">
        <f t="shared" si="13"/>
        <v>4836192</v>
      </c>
      <c r="P105" s="113">
        <f t="shared" si="14"/>
        <v>13365663</v>
      </c>
      <c r="Q105" s="84">
        <v>0</v>
      </c>
    </row>
    <row r="106" spans="3:20">
      <c r="I106" s="189" t="s">
        <v>4920</v>
      </c>
      <c r="J106" s="188">
        <f>L106-L105-1550000</f>
        <v>16319322</v>
      </c>
      <c r="K106" s="189" t="s">
        <v>4919</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4921</v>
      </c>
      <c r="L107" s="84">
        <v>749984625</v>
      </c>
      <c r="M107" s="84">
        <v>336802679</v>
      </c>
      <c r="N107" s="220">
        <f t="shared" si="12"/>
        <v>1086787304</v>
      </c>
      <c r="O107" s="113">
        <f t="shared" si="13"/>
        <v>3414475</v>
      </c>
      <c r="P107" s="113">
        <f t="shared" si="14"/>
        <v>11000307</v>
      </c>
      <c r="Q107" s="84">
        <v>0</v>
      </c>
    </row>
    <row r="108" spans="3:20">
      <c r="I108" s="189" t="s">
        <v>4924</v>
      </c>
      <c r="J108" s="188">
        <f>L108-L107-250000</f>
        <v>9825827</v>
      </c>
      <c r="K108" s="189" t="s">
        <v>4867</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4925</v>
      </c>
      <c r="L109" s="84">
        <v>764265377</v>
      </c>
      <c r="M109" s="84">
        <v>346850621</v>
      </c>
      <c r="N109" s="220">
        <f t="shared" si="12"/>
        <v>1111115998</v>
      </c>
      <c r="O109" s="113">
        <f t="shared" si="13"/>
        <v>4016059</v>
      </c>
      <c r="P109" s="113">
        <f t="shared" si="14"/>
        <v>8220984</v>
      </c>
      <c r="Q109" s="84">
        <v>0</v>
      </c>
    </row>
    <row r="110" spans="3:20" ht="30">
      <c r="I110" s="246" t="s">
        <v>4932</v>
      </c>
      <c r="J110" s="247">
        <f>L110-L109+48527480</f>
        <v>-4646184</v>
      </c>
      <c r="K110" s="216" t="s">
        <v>4929</v>
      </c>
      <c r="L110" s="248">
        <v>711091713</v>
      </c>
      <c r="M110" s="248">
        <v>365802118</v>
      </c>
      <c r="N110" s="247">
        <f t="shared" si="12"/>
        <v>1076893831</v>
      </c>
      <c r="O110" s="247">
        <f>M110-M109+2668880-50000000</f>
        <v>-28379623</v>
      </c>
      <c r="P110" s="247">
        <f>N110-N109-50000000+48527480+2668880</f>
        <v>-33025807</v>
      </c>
      <c r="Q110" s="84">
        <v>-1196360</v>
      </c>
    </row>
    <row r="111" spans="3:20">
      <c r="I111" s="213"/>
      <c r="J111" s="113">
        <f t="shared" si="7"/>
        <v>12126436</v>
      </c>
      <c r="K111" s="213" t="s">
        <v>4934</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4940</v>
      </c>
      <c r="J112" s="188">
        <f t="shared" si="7"/>
        <v>-11559770</v>
      </c>
      <c r="K112" s="189" t="s">
        <v>4935</v>
      </c>
      <c r="L112" s="237">
        <v>711658379</v>
      </c>
      <c r="M112" s="237">
        <v>375825031</v>
      </c>
      <c r="N112" s="188">
        <f t="shared" si="15"/>
        <v>1087483410</v>
      </c>
      <c r="O112" s="188">
        <f>M112-M111-400000</f>
        <v>-2767121</v>
      </c>
      <c r="P112" s="188">
        <f>N112-N111-400000</f>
        <v>-14326891</v>
      </c>
      <c r="Q112" s="84">
        <v>400000</v>
      </c>
      <c r="T112" t="s">
        <v>25</v>
      </c>
    </row>
    <row r="113" spans="9:19">
      <c r="I113" s="213" t="s">
        <v>4943</v>
      </c>
      <c r="J113" s="113">
        <f t="shared" si="7"/>
        <v>-47970668</v>
      </c>
      <c r="K113" s="213" t="s">
        <v>4942</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4945</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4946</v>
      </c>
      <c r="L115" s="84">
        <v>673546379</v>
      </c>
      <c r="M115" s="84">
        <v>385390359</v>
      </c>
      <c r="N115" s="113">
        <f t="shared" si="15"/>
        <v>1058936738</v>
      </c>
      <c r="O115" s="113">
        <f t="shared" si="16"/>
        <v>4912397</v>
      </c>
      <c r="P115" s="113">
        <f t="shared" si="17"/>
        <v>5263899</v>
      </c>
      <c r="Q115" s="84">
        <v>0</v>
      </c>
    </row>
    <row r="116" spans="9:19">
      <c r="I116" s="189" t="s">
        <v>4949</v>
      </c>
      <c r="J116" s="188">
        <f t="shared" si="7"/>
        <v>-3653734</v>
      </c>
      <c r="K116" s="189" t="s">
        <v>4947</v>
      </c>
      <c r="L116" s="237">
        <v>669892645</v>
      </c>
      <c r="M116" s="237">
        <v>383350206</v>
      </c>
      <c r="N116" s="188">
        <f>L116+M116</f>
        <v>1053242851</v>
      </c>
      <c r="O116" s="188">
        <f>M116-M115-2000000</f>
        <v>-4040153</v>
      </c>
      <c r="P116" s="188">
        <f>N116-N115-2000000</f>
        <v>-7693887</v>
      </c>
      <c r="Q116" s="84">
        <v>2000000</v>
      </c>
    </row>
    <row r="117" spans="9:19">
      <c r="I117" s="189" t="s">
        <v>4952</v>
      </c>
      <c r="J117" s="188">
        <f t="shared" si="7"/>
        <v>-492645</v>
      </c>
      <c r="K117" s="189" t="s">
        <v>4950</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4953</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4954</v>
      </c>
      <c r="L119" s="84">
        <v>685000000</v>
      </c>
      <c r="M119" s="84">
        <v>395000000</v>
      </c>
      <c r="N119" s="113">
        <f t="shared" si="15"/>
        <v>1080000000</v>
      </c>
      <c r="O119" s="113">
        <f t="shared" si="16"/>
        <v>2295548</v>
      </c>
      <c r="P119" s="113">
        <f t="shared" si="17"/>
        <v>10130487</v>
      </c>
      <c r="Q119" s="84">
        <v>0</v>
      </c>
    </row>
    <row r="120" spans="9:19">
      <c r="I120" s="189" t="s">
        <v>4958</v>
      </c>
      <c r="J120" s="188">
        <f>L120-L119-2100000</f>
        <v>2603523</v>
      </c>
      <c r="K120" s="189" t="s">
        <v>4956</v>
      </c>
      <c r="L120" s="237">
        <v>689703523</v>
      </c>
      <c r="M120" s="237">
        <v>399879880</v>
      </c>
      <c r="N120" s="188">
        <f t="shared" si="15"/>
        <v>1089583403</v>
      </c>
      <c r="O120" s="188">
        <f t="shared" si="16"/>
        <v>4879880</v>
      </c>
      <c r="P120" s="188">
        <f>N120-N119-2100000</f>
        <v>7483403</v>
      </c>
      <c r="Q120" s="84">
        <v>2100000</v>
      </c>
    </row>
    <row r="121" spans="9:19">
      <c r="I121" s="189" t="s">
        <v>4963</v>
      </c>
      <c r="J121" s="188">
        <f>L121-L120-100000</f>
        <v>1223636</v>
      </c>
      <c r="K121" s="189" t="s">
        <v>4961</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4965</v>
      </c>
      <c r="L122" s="84">
        <v>687768941</v>
      </c>
      <c r="M122" s="84">
        <v>400952125</v>
      </c>
      <c r="N122" s="113">
        <f t="shared" si="15"/>
        <v>1088721066</v>
      </c>
      <c r="O122" s="113">
        <f t="shared" si="16"/>
        <v>-968588</v>
      </c>
      <c r="P122" s="113">
        <f t="shared" si="17"/>
        <v>-4226806</v>
      </c>
      <c r="Q122" s="229">
        <v>0</v>
      </c>
    </row>
    <row r="123" spans="9:19">
      <c r="I123" s="189" t="s">
        <v>4971</v>
      </c>
      <c r="J123" s="188">
        <f>L123-L122-115000</f>
        <v>-1004989</v>
      </c>
      <c r="K123" s="189" t="s">
        <v>4967</v>
      </c>
      <c r="L123" s="237">
        <v>686878952</v>
      </c>
      <c r="M123" s="237">
        <v>402566982</v>
      </c>
      <c r="N123" s="188">
        <f>L123+M123</f>
        <v>1089445934</v>
      </c>
      <c r="O123" s="188">
        <f>M123-M122-115000</f>
        <v>1499857</v>
      </c>
      <c r="P123" s="188">
        <f>N123-N122-230000</f>
        <v>494868</v>
      </c>
      <c r="Q123" s="229">
        <v>230000</v>
      </c>
    </row>
    <row r="124" spans="9:19">
      <c r="I124" s="189" t="s">
        <v>4975</v>
      </c>
      <c r="J124" s="188">
        <f>L124-L123-900000</f>
        <v>16455514</v>
      </c>
      <c r="K124" s="189" t="s">
        <v>4973</v>
      </c>
      <c r="L124" s="237">
        <v>704234466</v>
      </c>
      <c r="M124" s="237">
        <v>413359717</v>
      </c>
      <c r="N124" s="220">
        <f t="shared" ref="N124:N145" si="18">L124+M124</f>
        <v>1117594183</v>
      </c>
      <c r="O124" s="188">
        <f t="shared" si="16"/>
        <v>10792735</v>
      </c>
      <c r="P124" s="188">
        <f>N124-N123-900000</f>
        <v>27248249</v>
      </c>
      <c r="Q124" s="229">
        <v>900000</v>
      </c>
    </row>
    <row r="125" spans="9:19">
      <c r="I125" s="189" t="s">
        <v>4979</v>
      </c>
      <c r="J125" s="188">
        <f>L125-L124-241774</f>
        <v>7847987</v>
      </c>
      <c r="K125" s="189" t="s">
        <v>4976</v>
      </c>
      <c r="L125" s="237">
        <v>712324227</v>
      </c>
      <c r="M125" s="237">
        <v>416450606</v>
      </c>
      <c r="N125" s="220">
        <f>L125+M125</f>
        <v>1128774833</v>
      </c>
      <c r="O125" s="188">
        <f>M125-M124-50000</f>
        <v>3040889</v>
      </c>
      <c r="P125" s="188">
        <f>N125-N124-291774</f>
        <v>10888876</v>
      </c>
      <c r="Q125" s="229">
        <v>291774</v>
      </c>
    </row>
    <row r="126" spans="9:19">
      <c r="I126" s="189" t="s">
        <v>4989</v>
      </c>
      <c r="J126" s="188">
        <f>L126-L125-5701774</f>
        <v>-18426154</v>
      </c>
      <c r="K126" s="189" t="s">
        <v>4987</v>
      </c>
      <c r="L126" s="237">
        <v>699599847</v>
      </c>
      <c r="M126" s="237">
        <v>407446033</v>
      </c>
      <c r="N126" s="188">
        <f t="shared" si="18"/>
        <v>1107045880</v>
      </c>
      <c r="O126" s="188">
        <f>M126-M125-50000</f>
        <v>-9054573</v>
      </c>
      <c r="P126" s="188">
        <f>N126-N125-5751774</f>
        <v>-27480727</v>
      </c>
      <c r="Q126" s="229">
        <v>5751774</v>
      </c>
    </row>
    <row r="127" spans="9:19">
      <c r="I127" s="249" t="s">
        <v>4995</v>
      </c>
      <c r="J127" s="250">
        <f t="shared" si="7"/>
        <v>9831878</v>
      </c>
      <c r="K127" s="249" t="s">
        <v>4990</v>
      </c>
      <c r="L127" s="251">
        <v>709431725</v>
      </c>
      <c r="M127" s="251">
        <v>415572724</v>
      </c>
      <c r="N127" s="250">
        <f t="shared" si="18"/>
        <v>1125004449</v>
      </c>
      <c r="O127" s="250">
        <f>M127-M126-25000</f>
        <v>8101691</v>
      </c>
      <c r="P127" s="250">
        <f>N127-N126-25000</f>
        <v>17933569</v>
      </c>
      <c r="Q127" s="229">
        <v>25000</v>
      </c>
    </row>
    <row r="128" spans="9:19">
      <c r="I128" s="99"/>
      <c r="J128" s="113">
        <f t="shared" si="7"/>
        <v>3212707</v>
      </c>
      <c r="K128" s="213" t="s">
        <v>4996</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4997</v>
      </c>
      <c r="L129" s="253">
        <v>716306417</v>
      </c>
      <c r="M129" s="253">
        <v>419768145</v>
      </c>
      <c r="N129" s="220">
        <f>L129+M129</f>
        <v>1136074562</v>
      </c>
      <c r="O129" s="117">
        <f>M129-M128</f>
        <v>2907177</v>
      </c>
      <c r="P129" s="117">
        <f>N129-N128</f>
        <v>6569162</v>
      </c>
      <c r="Q129" s="229">
        <v>0</v>
      </c>
    </row>
    <row r="130" spans="9:30">
      <c r="I130" s="189" t="s">
        <v>5004</v>
      </c>
      <c r="J130" s="188">
        <f t="shared" si="7"/>
        <v>-9284823</v>
      </c>
      <c r="K130" s="189" t="s">
        <v>5000</v>
      </c>
      <c r="L130" s="237">
        <v>707021594</v>
      </c>
      <c r="M130" s="237">
        <v>420305454</v>
      </c>
      <c r="N130" s="188">
        <f t="shared" si="18"/>
        <v>1127327048</v>
      </c>
      <c r="O130" s="188">
        <f>M130-M129-6800000</f>
        <v>-6262691</v>
      </c>
      <c r="P130" s="188">
        <f>N130-N129-6800000</f>
        <v>-15547514</v>
      </c>
      <c r="Q130" s="229">
        <v>6800000</v>
      </c>
      <c r="S130" t="s">
        <v>25</v>
      </c>
    </row>
    <row r="131" spans="9:30">
      <c r="I131" s="189" t="s">
        <v>5011</v>
      </c>
      <c r="J131" s="188">
        <f t="shared" si="7"/>
        <v>2112595</v>
      </c>
      <c r="K131" s="189" t="s">
        <v>5005</v>
      </c>
      <c r="L131" s="237">
        <v>709134189</v>
      </c>
      <c r="M131" s="237">
        <v>421097153</v>
      </c>
      <c r="N131" s="188">
        <f t="shared" si="18"/>
        <v>1130231342</v>
      </c>
      <c r="O131" s="188">
        <f>M131-M130-500000</f>
        <v>291699</v>
      </c>
      <c r="P131" s="188">
        <f>N131-N130-500000</f>
        <v>2404294</v>
      </c>
      <c r="Q131" s="229">
        <v>500000</v>
      </c>
      <c r="S131" t="s">
        <v>25</v>
      </c>
    </row>
    <row r="132" spans="9:30">
      <c r="I132" s="249" t="s">
        <v>5015</v>
      </c>
      <c r="J132" s="250">
        <f t="shared" si="7"/>
        <v>1064287</v>
      </c>
      <c r="K132" s="249" t="s">
        <v>5012</v>
      </c>
      <c r="L132" s="251">
        <v>710198476</v>
      </c>
      <c r="M132" s="251">
        <v>422434338</v>
      </c>
      <c r="N132" s="250">
        <f t="shared" si="18"/>
        <v>1132632814</v>
      </c>
      <c r="O132" s="250">
        <f>M132-M131-850000</f>
        <v>487185</v>
      </c>
      <c r="P132" s="250">
        <f>N132-N131-850000</f>
        <v>1551472</v>
      </c>
      <c r="Q132" s="229">
        <v>850000</v>
      </c>
    </row>
    <row r="133" spans="9:30">
      <c r="I133" s="213"/>
      <c r="J133" s="113">
        <f t="shared" si="7"/>
        <v>12623812</v>
      </c>
      <c r="K133" s="213" t="s">
        <v>5019</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5020</v>
      </c>
      <c r="L134" s="84">
        <v>744280570</v>
      </c>
      <c r="M134" s="84">
        <v>440002399</v>
      </c>
      <c r="N134" s="220">
        <f t="shared" si="18"/>
        <v>1184282969</v>
      </c>
      <c r="O134" s="113">
        <f t="shared" si="16"/>
        <v>10396274</v>
      </c>
      <c r="P134" s="113">
        <f t="shared" si="17"/>
        <v>31854556</v>
      </c>
      <c r="Q134" s="229">
        <v>0</v>
      </c>
    </row>
    <row r="135" spans="9:30">
      <c r="I135" s="189" t="s">
        <v>5041</v>
      </c>
      <c r="J135" s="188">
        <f>L135-L134-1130250</f>
        <v>-410820</v>
      </c>
      <c r="K135" s="189" t="s">
        <v>5022</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5026</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5033</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5037</v>
      </c>
      <c r="L138" s="84">
        <v>736327754</v>
      </c>
      <c r="M138" s="84">
        <v>439057094</v>
      </c>
      <c r="N138" s="113">
        <f t="shared" si="18"/>
        <v>1175384848</v>
      </c>
      <c r="O138" s="113">
        <f t="shared" si="16"/>
        <v>5516545</v>
      </c>
      <c r="P138" s="113">
        <f t="shared" si="17"/>
        <v>9638954</v>
      </c>
      <c r="Q138" s="229">
        <v>0</v>
      </c>
      <c r="X138" s="96"/>
      <c r="Y138" s="96"/>
      <c r="Z138" s="96" t="s">
        <v>4630</v>
      </c>
      <c r="AA138" s="96"/>
    </row>
    <row r="139" spans="9:30">
      <c r="I139" s="189" t="s">
        <v>5040</v>
      </c>
      <c r="J139" s="188">
        <f>L139-L138-206000</f>
        <v>15013287</v>
      </c>
      <c r="K139" s="189" t="s">
        <v>5039</v>
      </c>
      <c r="L139" s="237">
        <v>751547041</v>
      </c>
      <c r="M139" s="237">
        <v>448656068</v>
      </c>
      <c r="N139" s="220">
        <f t="shared" si="18"/>
        <v>1200203109</v>
      </c>
      <c r="O139" s="188">
        <f>M139-M138-206000</f>
        <v>9392974</v>
      </c>
      <c r="P139" s="188">
        <f>N139-N138-412000</f>
        <v>24406261</v>
      </c>
      <c r="Q139" s="229">
        <v>412000</v>
      </c>
      <c r="X139" s="96"/>
      <c r="Y139" s="96"/>
      <c r="Z139" s="96" t="s">
        <v>4631</v>
      </c>
      <c r="AA139" s="207">
        <v>35441</v>
      </c>
      <c r="AD139" t="s">
        <v>25</v>
      </c>
    </row>
    <row r="140" spans="9:30" ht="90">
      <c r="I140" s="249" t="s">
        <v>5045</v>
      </c>
      <c r="J140" s="250">
        <f>L140-L139-50000</f>
        <v>22852739</v>
      </c>
      <c r="K140" s="249" t="s">
        <v>5044</v>
      </c>
      <c r="L140" s="251">
        <v>774449780</v>
      </c>
      <c r="M140" s="251">
        <v>460796198</v>
      </c>
      <c r="N140" s="220">
        <f t="shared" si="18"/>
        <v>1235245978</v>
      </c>
      <c r="O140" s="250">
        <f>M140-M139-50000</f>
        <v>12090130</v>
      </c>
      <c r="P140" s="250">
        <f>N140-N139-100000</f>
        <v>34942869</v>
      </c>
      <c r="Q140" s="229">
        <v>100000</v>
      </c>
      <c r="X140" s="22" t="s">
        <v>4634</v>
      </c>
      <c r="Y140" s="22" t="s">
        <v>4633</v>
      </c>
      <c r="Z140" s="22" t="s">
        <v>4632</v>
      </c>
      <c r="AA140" s="22" t="s">
        <v>4635</v>
      </c>
    </row>
    <row r="141" spans="9:30">
      <c r="I141" s="213"/>
      <c r="J141" s="113">
        <f t="shared" si="7"/>
        <v>13614989</v>
      </c>
      <c r="K141" s="213" t="s">
        <v>5048</v>
      </c>
      <c r="L141" s="84">
        <v>788064769</v>
      </c>
      <c r="M141" s="84">
        <v>470434493</v>
      </c>
      <c r="N141" s="220">
        <f t="shared" si="18"/>
        <v>1258499262</v>
      </c>
      <c r="O141" s="113">
        <f t="shared" si="16"/>
        <v>9638295</v>
      </c>
      <c r="P141" s="113">
        <f t="shared" si="17"/>
        <v>23253284</v>
      </c>
      <c r="Q141" s="229">
        <v>0</v>
      </c>
    </row>
    <row r="142" spans="9:30">
      <c r="I142" s="189" t="s">
        <v>5052</v>
      </c>
      <c r="J142" s="188">
        <f>L142-L141-105000</f>
        <v>7274368</v>
      </c>
      <c r="K142" s="189" t="s">
        <v>5049</v>
      </c>
      <c r="L142" s="237">
        <v>795444137</v>
      </c>
      <c r="M142" s="237">
        <v>496046411</v>
      </c>
      <c r="N142" s="220">
        <f t="shared" si="18"/>
        <v>1291490548</v>
      </c>
      <c r="O142" s="188">
        <f>M142-M141-20000000</f>
        <v>5611918</v>
      </c>
      <c r="P142" s="188">
        <f>N142-N141-20105000</f>
        <v>12886286</v>
      </c>
      <c r="Q142" s="229">
        <v>20105000</v>
      </c>
    </row>
    <row r="143" spans="9:30">
      <c r="I143" s="263" t="s">
        <v>5058</v>
      </c>
      <c r="J143" s="264">
        <f>L143-L142+21285588</f>
        <v>17942685</v>
      </c>
      <c r="K143" s="263" t="s">
        <v>5054</v>
      </c>
      <c r="L143" s="265">
        <v>792101234</v>
      </c>
      <c r="M143" s="265">
        <v>504721695</v>
      </c>
      <c r="N143" s="220">
        <f t="shared" si="18"/>
        <v>1296822929</v>
      </c>
      <c r="O143" s="264">
        <f t="shared" si="16"/>
        <v>8675284</v>
      </c>
      <c r="P143" s="264">
        <f>N143-N142+21285588</f>
        <v>26617969</v>
      </c>
      <c r="Q143" s="229">
        <v>-21285588</v>
      </c>
    </row>
    <row r="144" spans="9:30">
      <c r="I144" s="263" t="s">
        <v>5059</v>
      </c>
      <c r="J144" s="264">
        <f>L144-L143+5949277</f>
        <v>6616903</v>
      </c>
      <c r="K144" s="263" t="s">
        <v>5055</v>
      </c>
      <c r="L144" s="265">
        <v>792768860</v>
      </c>
      <c r="M144" s="265">
        <v>507955566</v>
      </c>
      <c r="N144" s="220">
        <f t="shared" si="18"/>
        <v>1300724426</v>
      </c>
      <c r="O144" s="264">
        <f t="shared" si="16"/>
        <v>3233871</v>
      </c>
      <c r="P144" s="264">
        <f>N144-N143+5949277</f>
        <v>9850774</v>
      </c>
      <c r="Q144" s="229">
        <v>-5949277</v>
      </c>
    </row>
    <row r="145" spans="9:23" ht="30">
      <c r="I145" s="246" t="s">
        <v>5060</v>
      </c>
      <c r="J145" s="247">
        <f>L145-L144+16266000</f>
        <v>-3424278</v>
      </c>
      <c r="K145" s="216" t="s">
        <v>990</v>
      </c>
      <c r="L145" s="248">
        <v>773078582</v>
      </c>
      <c r="M145" s="248">
        <v>483243300</v>
      </c>
      <c r="N145" s="247">
        <f t="shared" si="18"/>
        <v>1256321882</v>
      </c>
      <c r="O145" s="247">
        <f>M145-M144+24159150</f>
        <v>-553116</v>
      </c>
      <c r="P145" s="247">
        <f>N145-N144+40425150</f>
        <v>-3977394</v>
      </c>
      <c r="Q145" s="229">
        <v>-40425150</v>
      </c>
    </row>
    <row r="146" spans="9:23">
      <c r="I146" s="266" t="s">
        <v>5062</v>
      </c>
      <c r="J146" s="220">
        <f>L146-L145+15482124</f>
        <v>-6662026</v>
      </c>
      <c r="K146" s="219" t="s">
        <v>5061</v>
      </c>
      <c r="L146" s="267">
        <v>750934432</v>
      </c>
      <c r="M146" s="267">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5063</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5064</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5065</v>
      </c>
      <c r="L149" s="84">
        <v>740819252</v>
      </c>
      <c r="M149" s="84">
        <v>470305993</v>
      </c>
      <c r="N149" s="113">
        <f t="shared" si="19"/>
        <v>1211125245</v>
      </c>
      <c r="O149" s="113">
        <f t="shared" si="21"/>
        <v>-1758760</v>
      </c>
      <c r="P149" s="113">
        <f t="shared" si="22"/>
        <v>-3863586</v>
      </c>
      <c r="Q149" s="229">
        <v>0</v>
      </c>
      <c r="V149" t="s">
        <v>25</v>
      </c>
    </row>
    <row r="150" spans="9:23">
      <c r="I150" s="189" t="s">
        <v>5068</v>
      </c>
      <c r="J150" s="188">
        <f t="shared" si="20"/>
        <v>19640187</v>
      </c>
      <c r="K150" s="189" t="s">
        <v>5067</v>
      </c>
      <c r="L150" s="237">
        <v>760459439</v>
      </c>
      <c r="M150" s="237">
        <v>480341526</v>
      </c>
      <c r="N150" s="188">
        <f t="shared" si="19"/>
        <v>1240800965</v>
      </c>
      <c r="O150" s="188">
        <f>M150-M149-2480000</f>
        <v>7555533</v>
      </c>
      <c r="P150" s="188">
        <f>N150-N149-2480000</f>
        <v>27195720</v>
      </c>
      <c r="Q150" s="229">
        <v>2480000</v>
      </c>
    </row>
    <row r="151" spans="9:23">
      <c r="I151" s="213" t="s">
        <v>5071</v>
      </c>
      <c r="J151" s="113">
        <f>L151-L150-10000000</f>
        <v>7047541</v>
      </c>
      <c r="K151" s="213" t="s">
        <v>5070</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5072</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5075</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5077</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5073</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5078</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5079</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5074</v>
      </c>
      <c r="L159" s="84">
        <v>805243284</v>
      </c>
      <c r="M159" s="84">
        <v>510366011</v>
      </c>
      <c r="N159" s="113">
        <f t="shared" si="19"/>
        <v>1315609295</v>
      </c>
      <c r="O159" s="113">
        <f t="shared" ref="O159:O203" si="23">M159-M158</f>
        <v>-1562202</v>
      </c>
      <c r="P159" s="113">
        <f t="shared" ref="P159:P199" si="24">N159-N158</f>
        <v>-4676201</v>
      </c>
      <c r="Q159" s="229">
        <v>0</v>
      </c>
    </row>
    <row r="160" spans="9:23">
      <c r="I160" s="269" t="s">
        <v>5090</v>
      </c>
      <c r="J160" s="188">
        <f>L160-L159-1000000</f>
        <v>-11757327</v>
      </c>
      <c r="K160" s="189" t="s">
        <v>5089</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5091</v>
      </c>
      <c r="L161" s="84">
        <v>809787758</v>
      </c>
      <c r="M161" s="84">
        <v>508573621</v>
      </c>
      <c r="N161" s="113">
        <f t="shared" si="19"/>
        <v>1318361379</v>
      </c>
      <c r="O161" s="113">
        <f t="shared" si="23"/>
        <v>8266116</v>
      </c>
      <c r="P161" s="113">
        <f t="shared" si="24"/>
        <v>23567917</v>
      </c>
    </row>
    <row r="162" spans="9:18">
      <c r="I162" s="249" t="s">
        <v>5093</v>
      </c>
      <c r="J162" s="250">
        <f>L162-L161-40000</f>
        <v>22492792</v>
      </c>
      <c r="K162" s="249" t="s">
        <v>5092</v>
      </c>
      <c r="L162" s="251">
        <v>832320550</v>
      </c>
      <c r="M162" s="251">
        <v>520218492</v>
      </c>
      <c r="N162" s="220">
        <f t="shared" si="19"/>
        <v>1352539042</v>
      </c>
      <c r="O162" s="250">
        <f>M162-M161-40000</f>
        <v>11604871</v>
      </c>
      <c r="P162" s="250">
        <f>N162-N161-80000</f>
        <v>34097663</v>
      </c>
      <c r="Q162" s="229">
        <v>80000</v>
      </c>
    </row>
    <row r="163" spans="9:18">
      <c r="I163" s="213"/>
      <c r="J163" s="113">
        <f t="shared" si="20"/>
        <v>17160356</v>
      </c>
      <c r="K163" s="213" t="s">
        <v>5095</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5102</v>
      </c>
      <c r="L164" s="84">
        <v>839851298</v>
      </c>
      <c r="M164" s="84">
        <v>524867809</v>
      </c>
      <c r="N164" s="113">
        <f t="shared" si="19"/>
        <v>1364719107</v>
      </c>
      <c r="O164" s="113">
        <f t="shared" si="23"/>
        <v>-5011363</v>
      </c>
      <c r="P164" s="113">
        <f t="shared" si="24"/>
        <v>-14640971</v>
      </c>
      <c r="Q164" s="229">
        <v>0</v>
      </c>
    </row>
    <row r="165" spans="9:18">
      <c r="I165" s="249" t="s">
        <v>5105</v>
      </c>
      <c r="J165" s="250">
        <f>L165-L164-120000</f>
        <v>-2216696</v>
      </c>
      <c r="K165" s="249" t="s">
        <v>5104</v>
      </c>
      <c r="L165" s="251">
        <v>837754602</v>
      </c>
      <c r="M165" s="251">
        <v>524141818</v>
      </c>
      <c r="N165" s="250">
        <f t="shared" si="19"/>
        <v>1361896420</v>
      </c>
      <c r="O165" s="250">
        <f>M165-M164-200000</f>
        <v>-925991</v>
      </c>
      <c r="P165" s="250">
        <f>N165-N164-320000</f>
        <v>-3142687</v>
      </c>
      <c r="Q165" s="229">
        <v>320000</v>
      </c>
    </row>
    <row r="166" spans="9:18">
      <c r="I166" s="249" t="s">
        <v>5011</v>
      </c>
      <c r="J166" s="250">
        <f t="shared" si="20"/>
        <v>-5830761</v>
      </c>
      <c r="K166" s="249" t="s">
        <v>5108</v>
      </c>
      <c r="L166" s="251">
        <v>831923841</v>
      </c>
      <c r="M166" s="251">
        <v>520741895</v>
      </c>
      <c r="N166" s="250">
        <f t="shared" si="19"/>
        <v>1352665736</v>
      </c>
      <c r="O166" s="250">
        <f>M166-M165-500000</f>
        <v>-3899923</v>
      </c>
      <c r="P166" s="250">
        <f>N166-N165-500000</f>
        <v>-9730684</v>
      </c>
      <c r="Q166" s="229">
        <v>500000</v>
      </c>
    </row>
    <row r="167" spans="9:18">
      <c r="I167" s="249" t="s">
        <v>5011</v>
      </c>
      <c r="J167" s="250">
        <f t="shared" si="20"/>
        <v>-22467551</v>
      </c>
      <c r="K167" s="249" t="s">
        <v>5110</v>
      </c>
      <c r="L167" s="251">
        <v>809456290</v>
      </c>
      <c r="M167" s="251">
        <v>509313372</v>
      </c>
      <c r="N167" s="250">
        <f t="shared" si="19"/>
        <v>1318769662</v>
      </c>
      <c r="O167" s="250">
        <f>M167-M166-500000</f>
        <v>-11928523</v>
      </c>
      <c r="P167" s="250">
        <f>N167-N166-500000</f>
        <v>-34396074</v>
      </c>
      <c r="Q167" s="229">
        <v>500000</v>
      </c>
    </row>
    <row r="168" spans="9:18">
      <c r="I168" s="249" t="s">
        <v>5111</v>
      </c>
      <c r="J168" s="250">
        <f>L168-L167-249000</f>
        <v>-15588738</v>
      </c>
      <c r="K168" s="249" t="s">
        <v>5097</v>
      </c>
      <c r="L168" s="251">
        <v>794116552</v>
      </c>
      <c r="M168" s="251">
        <v>501172095</v>
      </c>
      <c r="N168" s="250">
        <f t="shared" si="19"/>
        <v>1295288647</v>
      </c>
      <c r="O168" s="250">
        <f>M168-M167-250000</f>
        <v>-8391277</v>
      </c>
      <c r="P168" s="250">
        <f>N168-N167-499000</f>
        <v>-23980015</v>
      </c>
      <c r="Q168" s="229">
        <v>499000</v>
      </c>
    </row>
    <row r="169" spans="9:18">
      <c r="I169" s="213"/>
      <c r="J169" s="113">
        <f t="shared" si="20"/>
        <v>11269240</v>
      </c>
      <c r="K169" s="213" t="s">
        <v>5112</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5115</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5123</v>
      </c>
      <c r="L172" s="84">
        <v>806287909</v>
      </c>
      <c r="M172" s="253">
        <v>508728805</v>
      </c>
      <c r="N172" s="113">
        <f t="shared" si="19"/>
        <v>1315016714</v>
      </c>
      <c r="O172" s="113">
        <f t="shared" si="23"/>
        <v>477440</v>
      </c>
      <c r="P172" s="113">
        <f t="shared" si="24"/>
        <v>347084</v>
      </c>
      <c r="Q172" s="229">
        <v>0</v>
      </c>
    </row>
    <row r="173" spans="9:18">
      <c r="I173" s="213"/>
      <c r="J173" s="113">
        <f t="shared" si="20"/>
        <v>-4205755</v>
      </c>
      <c r="K173" s="213" t="s">
        <v>5124</v>
      </c>
      <c r="L173" s="84">
        <v>802082154</v>
      </c>
      <c r="M173" s="84">
        <v>508611485</v>
      </c>
      <c r="N173" s="113">
        <f t="shared" si="19"/>
        <v>1310693639</v>
      </c>
      <c r="O173" s="113">
        <f t="shared" si="23"/>
        <v>-117320</v>
      </c>
      <c r="P173" s="113">
        <f t="shared" si="24"/>
        <v>-4323075</v>
      </c>
      <c r="Q173" s="229">
        <v>0</v>
      </c>
      <c r="R173" t="s">
        <v>25</v>
      </c>
    </row>
    <row r="174" spans="9:18">
      <c r="I174" s="249" t="s">
        <v>5127</v>
      </c>
      <c r="J174" s="250">
        <f>L174-L173-65000</f>
        <v>5888390</v>
      </c>
      <c r="K174" s="249" t="s">
        <v>5126</v>
      </c>
      <c r="L174" s="251">
        <v>808035544</v>
      </c>
      <c r="M174" s="251">
        <v>512177913</v>
      </c>
      <c r="N174" s="250">
        <f t="shared" si="19"/>
        <v>1320213457</v>
      </c>
      <c r="O174" s="250">
        <f t="shared" si="23"/>
        <v>3566428</v>
      </c>
      <c r="P174" s="250">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5133</v>
      </c>
      <c r="J176" s="247">
        <f>L176-L175+305807</f>
        <v>8668560</v>
      </c>
      <c r="K176" s="216" t="s">
        <v>5131</v>
      </c>
      <c r="L176" s="248">
        <v>816745622</v>
      </c>
      <c r="M176" s="248">
        <v>516127148</v>
      </c>
      <c r="N176" s="247">
        <f t="shared" si="19"/>
        <v>1332872770</v>
      </c>
      <c r="O176" s="247">
        <f>M176-M175+305807</f>
        <v>3691986</v>
      </c>
      <c r="P176" s="247">
        <f>N176-N175+611614</f>
        <v>12360546</v>
      </c>
      <c r="Q176" s="229">
        <v>-611614</v>
      </c>
    </row>
    <row r="177" spans="9:17">
      <c r="I177" s="152" t="s">
        <v>5134</v>
      </c>
      <c r="J177" s="247">
        <f>L177-L176+63348</f>
        <v>4837676</v>
      </c>
      <c r="K177" s="216" t="s">
        <v>5132</v>
      </c>
      <c r="L177" s="248">
        <v>821519950</v>
      </c>
      <c r="M177" s="248">
        <v>505943649</v>
      </c>
      <c r="N177" s="247">
        <f t="shared" si="19"/>
        <v>1327463599</v>
      </c>
      <c r="O177" s="247">
        <f>M177-M176+13076601</f>
        <v>2893102</v>
      </c>
      <c r="P177" s="247">
        <f>N177-N176+13139949</f>
        <v>7730778</v>
      </c>
      <c r="Q177" s="229">
        <v>-13139949</v>
      </c>
    </row>
    <row r="178" spans="9:17">
      <c r="I178" s="271" t="s">
        <v>5137</v>
      </c>
      <c r="J178" s="272">
        <f>L178-L177-50000</f>
        <v>30757186</v>
      </c>
      <c r="K178" s="271" t="s">
        <v>5136</v>
      </c>
      <c r="L178" s="273">
        <v>852327136</v>
      </c>
      <c r="M178" s="273">
        <v>521297098</v>
      </c>
      <c r="N178" s="220">
        <f t="shared" si="19"/>
        <v>1373624234</v>
      </c>
      <c r="O178" s="272">
        <f>M178-M177+1330520</f>
        <v>16683969</v>
      </c>
      <c r="P178" s="272">
        <f t="shared" si="24"/>
        <v>46160635</v>
      </c>
      <c r="Q178" s="229">
        <v>1280520</v>
      </c>
    </row>
    <row r="179" spans="9:17">
      <c r="I179" s="213"/>
      <c r="J179" s="113">
        <f t="shared" si="20"/>
        <v>3566567</v>
      </c>
      <c r="K179" s="213" t="s">
        <v>5098</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5142</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5145</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5146</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5151</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5152</v>
      </c>
      <c r="L184" s="84">
        <v>904707054</v>
      </c>
      <c r="M184" s="84">
        <v>557394961</v>
      </c>
      <c r="N184" s="113">
        <f t="shared" si="19"/>
        <v>1462102015</v>
      </c>
      <c r="O184" s="113">
        <f t="shared" si="23"/>
        <v>-6711498</v>
      </c>
      <c r="P184" s="113">
        <f t="shared" si="24"/>
        <v>-18369320</v>
      </c>
      <c r="Q184" s="229">
        <v>0</v>
      </c>
    </row>
    <row r="185" spans="9:17">
      <c r="I185" s="189" t="s">
        <v>5155</v>
      </c>
      <c r="J185" s="188">
        <f>L185-L184-200000</f>
        <v>15983884</v>
      </c>
      <c r="K185" s="189" t="s">
        <v>5153</v>
      </c>
      <c r="L185" s="237">
        <v>920890938</v>
      </c>
      <c r="M185" s="237">
        <v>566042468</v>
      </c>
      <c r="N185" s="188">
        <f t="shared" si="19"/>
        <v>1486933406</v>
      </c>
      <c r="O185" s="188">
        <f t="shared" si="23"/>
        <v>8647507</v>
      </c>
      <c r="P185" s="188">
        <f>N185-N184-200000</f>
        <v>24631391</v>
      </c>
      <c r="Q185" s="229">
        <v>200000</v>
      </c>
    </row>
    <row r="186" spans="9:17">
      <c r="I186" s="189" t="s">
        <v>5162</v>
      </c>
      <c r="J186" s="188">
        <f>L186-L185-30000</f>
        <v>1392982</v>
      </c>
      <c r="K186" s="189" t="s">
        <v>5156</v>
      </c>
      <c r="L186" s="237">
        <v>922313920</v>
      </c>
      <c r="M186" s="237">
        <v>567221668</v>
      </c>
      <c r="N186" s="188">
        <f t="shared" si="19"/>
        <v>1489535588</v>
      </c>
      <c r="O186" s="188">
        <f t="shared" si="23"/>
        <v>1179200</v>
      </c>
      <c r="P186" s="188">
        <f>N186-N185-30000</f>
        <v>2572182</v>
      </c>
      <c r="Q186" s="229">
        <v>30000</v>
      </c>
    </row>
    <row r="187" spans="9:17">
      <c r="I187" s="213" t="s">
        <v>5167</v>
      </c>
      <c r="J187" s="113">
        <f t="shared" si="20"/>
        <v>-1865454</v>
      </c>
      <c r="K187" s="213" t="s">
        <v>5166</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5168</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5114</v>
      </c>
      <c r="L189" s="84">
        <v>951067529</v>
      </c>
      <c r="M189" s="84">
        <v>596275041</v>
      </c>
      <c r="N189" s="220">
        <f t="shared" si="19"/>
        <v>1547342570</v>
      </c>
      <c r="O189" s="113">
        <f t="shared" si="23"/>
        <v>8603623</v>
      </c>
      <c r="P189" s="113">
        <f t="shared" si="24"/>
        <v>26700407</v>
      </c>
      <c r="Q189" s="229">
        <v>0</v>
      </c>
    </row>
    <row r="190" spans="9:17" ht="30">
      <c r="I190" s="269" t="s">
        <v>5175</v>
      </c>
      <c r="J190" s="188">
        <f>L190-L189+4000000</f>
        <v>-1393565</v>
      </c>
      <c r="K190" s="189" t="s">
        <v>5174</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5177</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5178</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5180</v>
      </c>
      <c r="L194" s="253">
        <v>901275329</v>
      </c>
      <c r="M194" s="253">
        <v>583098793</v>
      </c>
      <c r="N194" s="117">
        <f>L194+M194</f>
        <v>1484374122</v>
      </c>
      <c r="O194" s="117">
        <f t="shared" si="23"/>
        <v>-3486217</v>
      </c>
      <c r="P194" s="117">
        <f>N194-N193</f>
        <v>-18861608</v>
      </c>
      <c r="Q194" s="229">
        <v>0</v>
      </c>
    </row>
    <row r="195" spans="9:17">
      <c r="I195" s="189" t="s">
        <v>5185</v>
      </c>
      <c r="J195" s="188">
        <f>L195-L194-150000</f>
        <v>17593478</v>
      </c>
      <c r="K195" s="189" t="s">
        <v>5183</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5186</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5187</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5192</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5217</v>
      </c>
      <c r="L199" s="84">
        <v>992076311</v>
      </c>
      <c r="M199" s="84">
        <v>638214788</v>
      </c>
      <c r="N199" s="220">
        <f t="shared" si="19"/>
        <v>1630291099</v>
      </c>
      <c r="O199" s="113">
        <f t="shared" si="23"/>
        <v>470124</v>
      </c>
      <c r="P199" s="113">
        <f t="shared" si="24"/>
        <v>12547575</v>
      </c>
      <c r="Q199" s="229">
        <v>0</v>
      </c>
    </row>
    <row r="200" spans="9:17">
      <c r="I200" s="189" t="s">
        <v>5222</v>
      </c>
      <c r="J200" s="188">
        <f>L200-L199-400000</f>
        <v>-7612896</v>
      </c>
      <c r="K200" s="189" t="s">
        <v>5219</v>
      </c>
      <c r="L200" s="237">
        <v>984863415</v>
      </c>
      <c r="M200" s="237">
        <v>632226484</v>
      </c>
      <c r="N200" s="188">
        <f t="shared" si="19"/>
        <v>1617089899</v>
      </c>
      <c r="O200" s="188">
        <f t="shared" si="23"/>
        <v>-5988304</v>
      </c>
      <c r="P200" s="188">
        <f>N200-N199-400000</f>
        <v>-13601200</v>
      </c>
      <c r="Q200" s="229">
        <v>400000</v>
      </c>
    </row>
    <row r="201" spans="9:17">
      <c r="I201" s="216" t="s">
        <v>5225</v>
      </c>
      <c r="J201" s="247">
        <f>L201-L200+100000</f>
        <v>12509920</v>
      </c>
      <c r="K201" s="216" t="s">
        <v>5223</v>
      </c>
      <c r="L201" s="248">
        <v>997273335</v>
      </c>
      <c r="M201" s="248">
        <v>639479822</v>
      </c>
      <c r="N201" s="220">
        <f t="shared" si="19"/>
        <v>1636753157</v>
      </c>
      <c r="O201" s="247">
        <f t="shared" si="23"/>
        <v>7253338</v>
      </c>
      <c r="P201" s="247">
        <f>N201-N200+100000</f>
        <v>19763258</v>
      </c>
      <c r="Q201" s="229">
        <v>-100000</v>
      </c>
    </row>
    <row r="202" spans="9:17">
      <c r="I202" s="189" t="s">
        <v>5228</v>
      </c>
      <c r="J202" s="188">
        <f>L202-L201-10000000</f>
        <v>-2265988</v>
      </c>
      <c r="K202" s="189" t="s">
        <v>5227</v>
      </c>
      <c r="L202" s="237">
        <v>1005007347</v>
      </c>
      <c r="M202" s="237">
        <v>636084938</v>
      </c>
      <c r="N202" s="188">
        <f t="shared" si="19"/>
        <v>1641092285</v>
      </c>
      <c r="O202" s="188">
        <f t="shared" si="23"/>
        <v>-3394884</v>
      </c>
      <c r="P202" s="188">
        <f>N202-N201-10000000</f>
        <v>-5660872</v>
      </c>
      <c r="Q202" s="229">
        <v>10000000</v>
      </c>
    </row>
    <row r="203" spans="9:17">
      <c r="I203" s="216" t="s">
        <v>5233</v>
      </c>
      <c r="J203" s="247">
        <f>L203-L202+400000</f>
        <v>8061336</v>
      </c>
      <c r="K203" s="216" t="s">
        <v>5232</v>
      </c>
      <c r="L203" s="248">
        <v>1012668683</v>
      </c>
      <c r="M203" s="248">
        <v>641491326</v>
      </c>
      <c r="N203" s="220">
        <f t="shared" si="19"/>
        <v>1654160009</v>
      </c>
      <c r="O203" s="247">
        <f t="shared" si="23"/>
        <v>5406388</v>
      </c>
      <c r="P203" s="247">
        <f>N203-N202+400000</f>
        <v>13467724</v>
      </c>
      <c r="Q203" s="229">
        <v>-400000</v>
      </c>
    </row>
    <row r="204" spans="9:17">
      <c r="I204" s="216" t="s">
        <v>5234</v>
      </c>
      <c r="J204" s="247">
        <f t="shared" ref="J204:J237" si="25">L204-L203</f>
        <v>-21392180</v>
      </c>
      <c r="K204" s="216" t="s">
        <v>972</v>
      </c>
      <c r="L204" s="248">
        <v>991276503</v>
      </c>
      <c r="M204" s="248">
        <v>624698003</v>
      </c>
      <c r="N204" s="247">
        <f t="shared" ref="N204:N213" si="26">L204+M204</f>
        <v>1615974506</v>
      </c>
      <c r="O204" s="247">
        <f>M204-M203+3960043</f>
        <v>-12833280</v>
      </c>
      <c r="P204" s="247">
        <f>N204-N203+3960043</f>
        <v>-34225460</v>
      </c>
      <c r="Q204" s="229">
        <v>-3960043</v>
      </c>
    </row>
    <row r="205" spans="9:17">
      <c r="I205" s="213"/>
      <c r="J205" s="113">
        <f t="shared" si="25"/>
        <v>3426714</v>
      </c>
      <c r="K205" s="213" t="s">
        <v>5235</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5238</v>
      </c>
      <c r="L206" s="84">
        <v>991102717</v>
      </c>
      <c r="M206" s="84">
        <v>623731041</v>
      </c>
      <c r="N206" s="113">
        <f t="shared" si="26"/>
        <v>1614833758</v>
      </c>
      <c r="O206" s="113">
        <f t="shared" si="27"/>
        <v>-2790917</v>
      </c>
      <c r="P206" s="113">
        <f t="shared" si="28"/>
        <v>-6391417</v>
      </c>
      <c r="Q206" s="229">
        <v>0</v>
      </c>
    </row>
    <row r="207" spans="9:17">
      <c r="I207" s="189" t="s">
        <v>5241</v>
      </c>
      <c r="J207" s="188">
        <f>L207-L206-1300000</f>
        <v>-17889835</v>
      </c>
      <c r="K207" s="189" t="s">
        <v>5239</v>
      </c>
      <c r="L207" s="237">
        <v>974512882</v>
      </c>
      <c r="M207" s="237">
        <v>611227725</v>
      </c>
      <c r="N207" s="188">
        <f t="shared" si="26"/>
        <v>1585740607</v>
      </c>
      <c r="O207" s="188">
        <f>M207-M206-230000</f>
        <v>-12733316</v>
      </c>
      <c r="P207" s="188">
        <f>N207-N206-1530000</f>
        <v>-30623151</v>
      </c>
      <c r="Q207" s="229">
        <v>1530000</v>
      </c>
    </row>
    <row r="208" spans="9:17">
      <c r="I208" s="216" t="s">
        <v>5243</v>
      </c>
      <c r="J208" s="247">
        <f>L208-L207-230000</f>
        <v>26666770</v>
      </c>
      <c r="K208" s="216" t="s">
        <v>5242</v>
      </c>
      <c r="L208" s="248">
        <v>1001409652</v>
      </c>
      <c r="M208" s="248">
        <v>627313031</v>
      </c>
      <c r="N208" s="247">
        <f t="shared" si="26"/>
        <v>1628722683</v>
      </c>
      <c r="O208" s="247">
        <f>M208-M207+880000</f>
        <v>16965306</v>
      </c>
      <c r="P208" s="247">
        <f t="shared" si="28"/>
        <v>42982076</v>
      </c>
      <c r="Q208" s="229">
        <v>-650000</v>
      </c>
    </row>
    <row r="209" spans="9:19">
      <c r="I209" s="189" t="s">
        <v>5244</v>
      </c>
      <c r="J209" s="188">
        <f>L209-L208-880000</f>
        <v>38363123</v>
      </c>
      <c r="K209" s="189" t="s">
        <v>5245</v>
      </c>
      <c r="L209" s="237">
        <v>1040652775</v>
      </c>
      <c r="M209" s="237">
        <v>653526288</v>
      </c>
      <c r="N209" s="220">
        <f t="shared" si="26"/>
        <v>1694179063</v>
      </c>
      <c r="O209" s="188">
        <f t="shared" si="27"/>
        <v>26213257</v>
      </c>
      <c r="P209" s="188">
        <f>N209-N208-880000</f>
        <v>64576380</v>
      </c>
      <c r="Q209" s="229">
        <v>880000</v>
      </c>
    </row>
    <row r="210" spans="9:19">
      <c r="I210" s="216" t="s">
        <v>5249</v>
      </c>
      <c r="J210" s="247">
        <f>L210-L209+900000</f>
        <v>20298534</v>
      </c>
      <c r="K210" s="216" t="s">
        <v>5247</v>
      </c>
      <c r="L210" s="248">
        <v>1060051309</v>
      </c>
      <c r="M210" s="248">
        <v>663872836</v>
      </c>
      <c r="N210" s="220">
        <f t="shared" si="26"/>
        <v>1723924145</v>
      </c>
      <c r="O210" s="247">
        <f>M210-M209-200000</f>
        <v>10146548</v>
      </c>
      <c r="P210" s="247">
        <f>N210-N209+700000</f>
        <v>30445082</v>
      </c>
      <c r="Q210" s="229">
        <v>-700000</v>
      </c>
    </row>
    <row r="211" spans="9:19">
      <c r="I211" s="189" t="s">
        <v>5250</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5251</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5252</v>
      </c>
      <c r="J213" s="113">
        <f>L213-L212+800000</f>
        <v>15351721</v>
      </c>
      <c r="K213" s="213" t="s">
        <v>5253</v>
      </c>
      <c r="L213" s="84">
        <v>1017597520</v>
      </c>
      <c r="M213" s="84">
        <v>638870084</v>
      </c>
      <c r="N213" s="113">
        <f t="shared" si="26"/>
        <v>1656467604</v>
      </c>
      <c r="O213" s="113">
        <f>M213-M212+10000000</f>
        <v>14214313</v>
      </c>
      <c r="P213" s="113">
        <f>N213-N212+10800000</f>
        <v>29566034</v>
      </c>
      <c r="Q213" s="229">
        <v>-10800000</v>
      </c>
    </row>
    <row r="214" spans="9:19">
      <c r="I214" s="216" t="s">
        <v>5260</v>
      </c>
      <c r="J214" s="247">
        <f t="shared" si="25"/>
        <v>-18127600</v>
      </c>
      <c r="K214" s="216" t="s">
        <v>5255</v>
      </c>
      <c r="L214" s="248">
        <v>999469920</v>
      </c>
      <c r="M214" s="248">
        <v>621895248</v>
      </c>
      <c r="N214" s="247">
        <f t="shared" ref="N214:N239" si="29">L214+M214</f>
        <v>1621365168</v>
      </c>
      <c r="O214" s="247">
        <f>M214-M213-771000</f>
        <v>-17745836</v>
      </c>
      <c r="P214" s="247">
        <f>N214-N213-771000</f>
        <v>-35873436</v>
      </c>
      <c r="Q214" s="229">
        <v>771000</v>
      </c>
    </row>
    <row r="215" spans="9:19">
      <c r="I215" s="213"/>
      <c r="J215" s="113">
        <f t="shared" si="25"/>
        <v>11344596</v>
      </c>
      <c r="K215" s="213" t="s">
        <v>5261</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5263</v>
      </c>
      <c r="J217" s="247">
        <f>L217-L216-50000</f>
        <v>-3947893</v>
      </c>
      <c r="K217" s="216" t="s">
        <v>5262</v>
      </c>
      <c r="L217" s="248">
        <v>1010326365</v>
      </c>
      <c r="M217" s="248">
        <v>632690003</v>
      </c>
      <c r="N217" s="247">
        <f t="shared" si="29"/>
        <v>1643016368</v>
      </c>
      <c r="O217" s="247">
        <f t="shared" si="30"/>
        <v>-2811879</v>
      </c>
      <c r="P217" s="247">
        <f>N217-N216-50000</f>
        <v>-6759772</v>
      </c>
      <c r="Q217" s="229">
        <v>50000</v>
      </c>
    </row>
    <row r="218" spans="9:19">
      <c r="I218" s="216" t="s">
        <v>5265</v>
      </c>
      <c r="J218" s="247">
        <f>L218-L217-400000</f>
        <v>-7352281</v>
      </c>
      <c r="K218" s="216" t="s">
        <v>5267</v>
      </c>
      <c r="L218" s="248">
        <v>1003374084</v>
      </c>
      <c r="M218" s="248">
        <v>629402570</v>
      </c>
      <c r="N218" s="247">
        <f t="shared" si="29"/>
        <v>1632776654</v>
      </c>
      <c r="O218" s="247">
        <f t="shared" si="30"/>
        <v>-3287433</v>
      </c>
      <c r="P218" s="247">
        <f>N218-N217-400000</f>
        <v>-10639714</v>
      </c>
      <c r="Q218" s="229">
        <v>400000</v>
      </c>
      <c r="S218" t="s">
        <v>25</v>
      </c>
    </row>
    <row r="219" spans="9:19">
      <c r="I219" s="213"/>
      <c r="J219" s="113">
        <f t="shared" si="25"/>
        <v>-3856402</v>
      </c>
      <c r="K219" s="213" t="s">
        <v>5269</v>
      </c>
      <c r="L219" s="84">
        <v>999517682</v>
      </c>
      <c r="M219" s="84">
        <v>627640361</v>
      </c>
      <c r="N219" s="113">
        <f t="shared" si="29"/>
        <v>1627158043</v>
      </c>
      <c r="O219" s="113">
        <f t="shared" si="30"/>
        <v>-1762209</v>
      </c>
      <c r="P219" s="113">
        <f t="shared" si="31"/>
        <v>-5618611</v>
      </c>
      <c r="Q219" s="229">
        <v>0</v>
      </c>
    </row>
    <row r="220" spans="9:19">
      <c r="I220" s="189" t="s">
        <v>5271</v>
      </c>
      <c r="J220" s="188">
        <f t="shared" si="25"/>
        <v>30762624</v>
      </c>
      <c r="K220" s="189" t="s">
        <v>5270</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5237</v>
      </c>
      <c r="L221" s="84">
        <v>1013932649</v>
      </c>
      <c r="M221" s="84">
        <v>635152182</v>
      </c>
      <c r="N221" s="113">
        <f t="shared" si="29"/>
        <v>1649084831</v>
      </c>
      <c r="O221" s="113">
        <f t="shared" si="30"/>
        <v>-10386048</v>
      </c>
      <c r="P221" s="113">
        <f t="shared" si="31"/>
        <v>-26733705</v>
      </c>
      <c r="Q221" s="229">
        <v>0</v>
      </c>
    </row>
    <row r="222" spans="9:19">
      <c r="I222" s="277" t="s">
        <v>5277</v>
      </c>
      <c r="J222" s="278">
        <f>L222-L221+7000000</f>
        <v>4431891</v>
      </c>
      <c r="K222" s="277" t="s">
        <v>5278</v>
      </c>
      <c r="L222" s="279">
        <v>1011364540</v>
      </c>
      <c r="M222" s="279">
        <v>634014280</v>
      </c>
      <c r="N222" s="278">
        <f t="shared" si="29"/>
        <v>1645378820</v>
      </c>
      <c r="O222" s="278">
        <f t="shared" si="30"/>
        <v>-1137902</v>
      </c>
      <c r="P222" s="278">
        <f>N222-N221+7000000</f>
        <v>3293989</v>
      </c>
      <c r="Q222" s="229">
        <v>-7000000</v>
      </c>
    </row>
    <row r="223" spans="9:19">
      <c r="I223" s="216" t="s">
        <v>5280</v>
      </c>
      <c r="J223" s="247">
        <f t="shared" si="25"/>
        <v>-12364540</v>
      </c>
      <c r="K223" s="216" t="s">
        <v>5279</v>
      </c>
      <c r="L223" s="248">
        <v>999000000</v>
      </c>
      <c r="M223" s="248">
        <v>628000000</v>
      </c>
      <c r="N223" s="247">
        <f t="shared" si="29"/>
        <v>1627000000</v>
      </c>
      <c r="O223" s="247">
        <f>M223-M222-300000</f>
        <v>-6314280</v>
      </c>
      <c r="P223" s="247">
        <f>N223-N222-300000</f>
        <v>-18678820</v>
      </c>
      <c r="Q223" s="229">
        <v>300000</v>
      </c>
    </row>
    <row r="224" spans="9:19">
      <c r="I224" s="213"/>
      <c r="J224" s="113">
        <f t="shared" si="25"/>
        <v>1428495</v>
      </c>
      <c r="K224" s="213" t="s">
        <v>5281</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5282</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5283</v>
      </c>
      <c r="L226" s="84">
        <v>995000000</v>
      </c>
      <c r="M226" s="84">
        <v>625000000</v>
      </c>
      <c r="N226" s="113">
        <f t="shared" si="29"/>
        <v>1620000000</v>
      </c>
      <c r="O226" s="113">
        <f t="shared" si="30"/>
        <v>-2621912</v>
      </c>
      <c r="P226" s="113">
        <f t="shared" si="31"/>
        <v>-8262288</v>
      </c>
      <c r="Q226" s="229">
        <v>0</v>
      </c>
    </row>
    <row r="227" spans="9:19">
      <c r="I227" s="189" t="s">
        <v>5284</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5286</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5287</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5288</v>
      </c>
      <c r="L230" s="84">
        <v>981346829</v>
      </c>
      <c r="M230" s="84">
        <v>616768631</v>
      </c>
      <c r="N230" s="113">
        <f>L230+M230</f>
        <v>1598115460</v>
      </c>
      <c r="O230" s="113">
        <f t="shared" si="30"/>
        <v>-231369</v>
      </c>
      <c r="P230" s="113">
        <f t="shared" si="31"/>
        <v>-2584540</v>
      </c>
      <c r="Q230" s="229">
        <v>0</v>
      </c>
    </row>
    <row r="231" spans="9:19">
      <c r="I231" s="189" t="s">
        <v>5290</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5289</v>
      </c>
      <c r="L232" s="84">
        <v>982764273</v>
      </c>
      <c r="M232" s="84">
        <v>618232370</v>
      </c>
      <c r="N232" s="113">
        <f t="shared" si="29"/>
        <v>1600996643</v>
      </c>
      <c r="O232" s="113">
        <f t="shared" si="30"/>
        <v>9817180</v>
      </c>
      <c r="P232" s="113">
        <f t="shared" si="31"/>
        <v>27833689</v>
      </c>
      <c r="Q232" s="229">
        <v>0</v>
      </c>
    </row>
    <row r="233" spans="9:19">
      <c r="I233" s="189" t="s">
        <v>5294</v>
      </c>
      <c r="J233" s="188">
        <f>L233-L232+990760</f>
        <v>270597</v>
      </c>
      <c r="K233" s="189" t="s">
        <v>5293</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5295</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5296</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5300</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5301</v>
      </c>
      <c r="L237" s="84">
        <v>973935836</v>
      </c>
      <c r="M237" s="84">
        <v>612781866</v>
      </c>
      <c r="N237" s="113">
        <f t="shared" si="29"/>
        <v>1586717702</v>
      </c>
      <c r="O237" s="113">
        <f t="shared" si="30"/>
        <v>-4703074</v>
      </c>
      <c r="P237" s="113">
        <f t="shared" si="31"/>
        <v>-14274043</v>
      </c>
      <c r="Q237" s="229">
        <v>0</v>
      </c>
    </row>
    <row r="238" spans="9:19">
      <c r="I238" s="216" t="s">
        <v>5303</v>
      </c>
      <c r="J238" s="247">
        <f>L238-L237-101268</f>
        <v>10034013</v>
      </c>
      <c r="K238" s="216" t="s">
        <v>5302</v>
      </c>
      <c r="L238" s="248">
        <v>984071117</v>
      </c>
      <c r="M238" s="248">
        <v>619527192</v>
      </c>
      <c r="N238" s="247">
        <f t="shared" si="29"/>
        <v>1603598309</v>
      </c>
      <c r="O238" s="247">
        <f t="shared" si="30"/>
        <v>6745326</v>
      </c>
      <c r="P238" s="247">
        <f>N238-N237-101268</f>
        <v>16779339</v>
      </c>
      <c r="Q238" s="229">
        <v>101268</v>
      </c>
    </row>
    <row r="239" spans="9:19">
      <c r="I239" s="280" t="s">
        <v>5304</v>
      </c>
      <c r="J239" s="94">
        <f>L239-L238-101000</f>
        <v>-5512506</v>
      </c>
      <c r="K239" s="280" t="s">
        <v>5305</v>
      </c>
      <c r="L239" s="281">
        <v>978659611</v>
      </c>
      <c r="M239" s="281">
        <v>617623197</v>
      </c>
      <c r="N239" s="94">
        <f t="shared" si="29"/>
        <v>1596282808</v>
      </c>
      <c r="O239" s="94">
        <f t="shared" si="30"/>
        <v>-1903995</v>
      </c>
      <c r="P239" s="94">
        <f>N239-N238-101000</f>
        <v>-7416501</v>
      </c>
      <c r="Q239" s="229">
        <v>101000</v>
      </c>
    </row>
    <row r="240" spans="9:19">
      <c r="I240" s="213"/>
      <c r="J240" s="113">
        <f t="shared" ref="J240:J313" si="32">L240-L239</f>
        <v>-3538077</v>
      </c>
      <c r="K240" s="213" t="s">
        <v>5306</v>
      </c>
      <c r="L240" s="84">
        <v>975121534</v>
      </c>
      <c r="M240" s="84">
        <v>616980448</v>
      </c>
      <c r="N240" s="113">
        <f t="shared" ref="N240:N313" si="33">L240+M240</f>
        <v>1592101982</v>
      </c>
      <c r="O240" s="113">
        <f t="shared" ref="O240:O313" si="34">M240-M239</f>
        <v>-642749</v>
      </c>
      <c r="P240" s="113">
        <f t="shared" ref="P240:P313" si="35">N240-N239</f>
        <v>-4180826</v>
      </c>
      <c r="Q240" s="229">
        <v>0</v>
      </c>
    </row>
    <row r="241" spans="9:19">
      <c r="I241" s="213"/>
      <c r="J241" s="113">
        <f t="shared" si="32"/>
        <v>8213727</v>
      </c>
      <c r="K241" s="213" t="s">
        <v>5308</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5310</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5311</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5312</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5315</v>
      </c>
      <c r="L246" s="84">
        <v>998587209</v>
      </c>
      <c r="M246" s="84">
        <v>628989460</v>
      </c>
      <c r="N246" s="113">
        <f t="shared" si="33"/>
        <v>1627576669</v>
      </c>
      <c r="O246" s="113">
        <f t="shared" si="34"/>
        <v>-386804</v>
      </c>
      <c r="P246" s="113">
        <f t="shared" si="35"/>
        <v>-378799</v>
      </c>
      <c r="Q246" s="229">
        <v>0</v>
      </c>
    </row>
    <row r="247" spans="9:19">
      <c r="I247" s="189" t="s">
        <v>5317</v>
      </c>
      <c r="J247" s="188">
        <f t="shared" si="32"/>
        <v>57939414</v>
      </c>
      <c r="K247" s="189" t="s">
        <v>5316</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5318</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5319</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5320</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5321</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5322</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5323</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5324</v>
      </c>
      <c r="L255" s="84">
        <v>1154946925</v>
      </c>
      <c r="M255" s="84">
        <v>724493233</v>
      </c>
      <c r="N255" s="220">
        <f t="shared" si="37"/>
        <v>1879440158</v>
      </c>
      <c r="O255" s="113">
        <f t="shared" si="38"/>
        <v>3771085</v>
      </c>
      <c r="P255" s="113">
        <f t="shared" si="39"/>
        <v>9561690</v>
      </c>
      <c r="Q255" s="229">
        <v>0</v>
      </c>
    </row>
    <row r="256" spans="9:19">
      <c r="I256" s="213" t="s">
        <v>5325</v>
      </c>
      <c r="J256" s="113">
        <f t="shared" si="36"/>
        <v>40761008</v>
      </c>
      <c r="K256" s="213" t="s">
        <v>5326</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5328</v>
      </c>
      <c r="L257" s="84">
        <v>1204397532</v>
      </c>
      <c r="M257" s="84">
        <v>768290500</v>
      </c>
      <c r="N257" s="220">
        <f t="shared" si="37"/>
        <v>1972688032</v>
      </c>
      <c r="O257" s="113">
        <f t="shared" si="38"/>
        <v>4065339</v>
      </c>
      <c r="P257" s="113">
        <f t="shared" si="39"/>
        <v>12754938</v>
      </c>
      <c r="Q257" s="229">
        <v>0</v>
      </c>
    </row>
    <row r="258" spans="9:19">
      <c r="I258" s="189" t="s">
        <v>5331</v>
      </c>
      <c r="J258" s="188">
        <f>L258-L257+488602</f>
        <v>5275127</v>
      </c>
      <c r="K258" s="189" t="s">
        <v>5329</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5330</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5333</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5338</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5344</v>
      </c>
      <c r="L262" s="84">
        <v>1153433035</v>
      </c>
      <c r="M262" s="84">
        <v>736240181</v>
      </c>
      <c r="N262" s="113">
        <f t="shared" si="37"/>
        <v>1889673216</v>
      </c>
      <c r="O262" s="113">
        <f t="shared" si="38"/>
        <v>-19759819</v>
      </c>
      <c r="P262" s="113">
        <f t="shared" si="39"/>
        <v>-46326784</v>
      </c>
      <c r="Q262" s="229">
        <v>0</v>
      </c>
    </row>
    <row r="263" spans="9:19">
      <c r="I263" s="216" t="s">
        <v>5346</v>
      </c>
      <c r="J263" s="247">
        <f>L263-L262-360000</f>
        <v>-33793035</v>
      </c>
      <c r="K263" s="216" t="s">
        <v>5345</v>
      </c>
      <c r="L263" s="248">
        <v>1120000000</v>
      </c>
      <c r="M263" s="248">
        <v>718000000</v>
      </c>
      <c r="N263" s="247">
        <f t="shared" si="37"/>
        <v>1838000000</v>
      </c>
      <c r="O263" s="247">
        <f t="shared" si="38"/>
        <v>-18240181</v>
      </c>
      <c r="P263" s="247">
        <f>N263-N262-360000</f>
        <v>-52033216</v>
      </c>
      <c r="Q263" s="229">
        <v>360000</v>
      </c>
      <c r="S263" t="s">
        <v>25</v>
      </c>
    </row>
    <row r="264" spans="9:19">
      <c r="I264" s="213"/>
      <c r="J264" s="113">
        <f t="shared" si="36"/>
        <v>-23994521</v>
      </c>
      <c r="K264" s="213" t="s">
        <v>5347</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5350</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5351</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5352</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5357</v>
      </c>
      <c r="J268" s="188">
        <f>L268-L267+3600000</f>
        <v>6784521</v>
      </c>
      <c r="K268" s="189" t="s">
        <v>5353</v>
      </c>
      <c r="L268" s="237">
        <v>1227517149</v>
      </c>
      <c r="M268" s="237">
        <v>781946723</v>
      </c>
      <c r="N268" s="220">
        <f>L268+M268</f>
        <v>2009463872</v>
      </c>
      <c r="O268" s="188">
        <f t="shared" si="42"/>
        <v>648802</v>
      </c>
      <c r="P268" s="188">
        <f>N268-N267+3600000</f>
        <v>7433323</v>
      </c>
      <c r="Q268" s="229">
        <v>-3600000</v>
      </c>
    </row>
    <row r="269" spans="9:19">
      <c r="I269" s="216" t="s">
        <v>5359</v>
      </c>
      <c r="J269" s="247">
        <f t="shared" si="40"/>
        <v>8668842</v>
      </c>
      <c r="K269" s="216" t="s">
        <v>5356</v>
      </c>
      <c r="L269" s="248">
        <v>1236185991</v>
      </c>
      <c r="M269" s="248">
        <v>790935464</v>
      </c>
      <c r="N269" s="220">
        <f t="shared" si="41"/>
        <v>2027121455</v>
      </c>
      <c r="O269" s="247">
        <f>M269-M268-2000000</f>
        <v>6988741</v>
      </c>
      <c r="P269" s="247">
        <f>N269-N268-2000000</f>
        <v>15657583</v>
      </c>
      <c r="Q269" s="229">
        <v>2000000</v>
      </c>
    </row>
    <row r="270" spans="9:19">
      <c r="I270" s="213"/>
      <c r="J270" s="113">
        <f t="shared" si="40"/>
        <v>59400386</v>
      </c>
      <c r="K270" s="213" t="s">
        <v>5365</v>
      </c>
      <c r="L270" s="84">
        <v>1295586377</v>
      </c>
      <c r="M270" s="84">
        <v>830602955</v>
      </c>
      <c r="N270" s="220">
        <f t="shared" si="41"/>
        <v>2126189332</v>
      </c>
      <c r="O270" s="113">
        <f t="shared" si="42"/>
        <v>39667491</v>
      </c>
      <c r="P270" s="113">
        <f t="shared" si="43"/>
        <v>99067877</v>
      </c>
      <c r="Q270" s="229">
        <v>0</v>
      </c>
    </row>
    <row r="271" spans="9:19">
      <c r="I271" s="189" t="s">
        <v>5367</v>
      </c>
      <c r="J271" s="188">
        <f>L271-L270+1000000</f>
        <v>21062163</v>
      </c>
      <c r="K271" s="189" t="s">
        <v>5366</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5369</v>
      </c>
      <c r="L272" s="84">
        <v>1290000000</v>
      </c>
      <c r="M272" s="84">
        <v>830000000</v>
      </c>
      <c r="N272" s="113">
        <f t="shared" si="41"/>
        <v>2120000000</v>
      </c>
      <c r="O272" s="113">
        <f t="shared" si="42"/>
        <v>-7889920</v>
      </c>
      <c r="P272" s="113">
        <f t="shared" si="43"/>
        <v>-33538460</v>
      </c>
    </row>
    <row r="273" spans="4:23">
      <c r="I273" s="213"/>
      <c r="J273" s="113">
        <f t="shared" si="40"/>
        <v>5173477</v>
      </c>
      <c r="K273" s="213" t="s">
        <v>5373</v>
      </c>
      <c r="L273" s="84">
        <v>1295173477</v>
      </c>
      <c r="M273" s="84">
        <v>832119130</v>
      </c>
      <c r="N273" s="113">
        <f t="shared" si="41"/>
        <v>2127292607</v>
      </c>
      <c r="O273" s="113">
        <f t="shared" si="42"/>
        <v>2119130</v>
      </c>
      <c r="P273" s="113">
        <f t="shared" si="43"/>
        <v>7292607</v>
      </c>
    </row>
    <row r="274" spans="4:23">
      <c r="D274" t="s">
        <v>25</v>
      </c>
      <c r="I274" s="216" t="s">
        <v>5346</v>
      </c>
      <c r="J274" s="247">
        <f>L274-L273-360000</f>
        <v>-3379409</v>
      </c>
      <c r="K274" s="216" t="s">
        <v>5374</v>
      </c>
      <c r="L274" s="248">
        <v>1292154068</v>
      </c>
      <c r="M274" s="248">
        <v>833033746</v>
      </c>
      <c r="N274" s="247">
        <f t="shared" si="41"/>
        <v>2125187814</v>
      </c>
      <c r="O274" s="247">
        <f t="shared" si="42"/>
        <v>914616</v>
      </c>
      <c r="P274" s="247">
        <f>N274-N273-360000</f>
        <v>-2464793</v>
      </c>
      <c r="Q274" s="229">
        <v>360000</v>
      </c>
    </row>
    <row r="275" spans="4:23">
      <c r="I275" s="216" t="s">
        <v>5379</v>
      </c>
      <c r="J275" s="247">
        <f>L275-L274-2000000</f>
        <v>-22946012</v>
      </c>
      <c r="K275" s="216" t="s">
        <v>5377</v>
      </c>
      <c r="L275" s="248">
        <v>1271208056</v>
      </c>
      <c r="M275" s="248">
        <v>825161254</v>
      </c>
      <c r="N275" s="247">
        <f t="shared" si="41"/>
        <v>2096369310</v>
      </c>
      <c r="O275" s="247">
        <f t="shared" si="42"/>
        <v>-7872492</v>
      </c>
      <c r="P275" s="247">
        <f>N275-N274-2000000</f>
        <v>-30818504</v>
      </c>
      <c r="Q275" s="229">
        <v>2000000</v>
      </c>
    </row>
    <row r="276" spans="4:23">
      <c r="I276" s="216" t="s">
        <v>5384</v>
      </c>
      <c r="J276" s="247">
        <f>L276-L275-15300000</f>
        <v>32802006</v>
      </c>
      <c r="K276" s="216" t="s">
        <v>5381</v>
      </c>
      <c r="L276" s="248">
        <v>1319310062</v>
      </c>
      <c r="M276" s="248">
        <v>846171439</v>
      </c>
      <c r="N276" s="247">
        <f t="shared" si="41"/>
        <v>2165481501</v>
      </c>
      <c r="O276" s="247">
        <f>M276-M275-200000</f>
        <v>20810185</v>
      </c>
      <c r="P276" s="247">
        <f>N276-N275-15500000</f>
        <v>53612191</v>
      </c>
      <c r="Q276" s="229">
        <v>15500000</v>
      </c>
    </row>
    <row r="277" spans="4:23">
      <c r="I277" s="216" t="s">
        <v>5387</v>
      </c>
      <c r="J277" s="247">
        <f>L277-L276-3000000</f>
        <v>12429762</v>
      </c>
      <c r="K277" s="216" t="s">
        <v>5386</v>
      </c>
      <c r="L277" s="248">
        <v>1334739824</v>
      </c>
      <c r="M277" s="248">
        <v>848815156</v>
      </c>
      <c r="N277" s="220">
        <f t="shared" si="41"/>
        <v>2183554980</v>
      </c>
      <c r="O277" s="247">
        <f>M277-M276-50000</f>
        <v>2593717</v>
      </c>
      <c r="P277" s="247">
        <f>N277-N276-3050000</f>
        <v>15023479</v>
      </c>
      <c r="Q277" s="229">
        <v>3050000</v>
      </c>
    </row>
    <row r="278" spans="4:23">
      <c r="I278" s="216" t="s">
        <v>5391</v>
      </c>
      <c r="J278" s="247">
        <f>L278-L277-1680000</f>
        <v>-15903030</v>
      </c>
      <c r="K278" s="216" t="s">
        <v>5389</v>
      </c>
      <c r="L278" s="248">
        <v>1320516794</v>
      </c>
      <c r="M278" s="248">
        <v>834312363</v>
      </c>
      <c r="N278" s="247">
        <f t="shared" si="41"/>
        <v>2154829157</v>
      </c>
      <c r="O278" s="247">
        <f>M278-M277-100000</f>
        <v>-14602793</v>
      </c>
      <c r="P278" s="247">
        <f>N278-N277-1600000</f>
        <v>-30325823</v>
      </c>
      <c r="Q278" s="229">
        <v>1780000</v>
      </c>
      <c r="S278" t="s">
        <v>25</v>
      </c>
    </row>
    <row r="279" spans="4:23">
      <c r="I279" s="216" t="s">
        <v>5393</v>
      </c>
      <c r="J279" s="247">
        <f>L279-L278-30000000</f>
        <v>3387493</v>
      </c>
      <c r="K279" s="216" t="s">
        <v>5392</v>
      </c>
      <c r="L279" s="248">
        <v>1353904287</v>
      </c>
      <c r="M279" s="248">
        <v>836074409</v>
      </c>
      <c r="N279" s="247">
        <f t="shared" si="41"/>
        <v>2189978696</v>
      </c>
      <c r="O279" s="247">
        <f t="shared" si="42"/>
        <v>1762046</v>
      </c>
      <c r="P279" s="247">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5399</v>
      </c>
      <c r="L281" s="84">
        <v>1379735558</v>
      </c>
      <c r="M281" s="84">
        <v>848557580</v>
      </c>
      <c r="N281" s="220">
        <f t="shared" si="41"/>
        <v>2228293138</v>
      </c>
      <c r="O281" s="113">
        <f t="shared" si="42"/>
        <v>4543265</v>
      </c>
      <c r="P281" s="113">
        <f t="shared" si="43"/>
        <v>8875537</v>
      </c>
      <c r="Q281" s="229">
        <v>0</v>
      </c>
    </row>
    <row r="282" spans="4:23">
      <c r="I282" s="213"/>
      <c r="J282" s="113">
        <f t="shared" ref="J282:J312" si="44">L282-L281</f>
        <v>29783485</v>
      </c>
      <c r="K282" s="213" t="s">
        <v>5400</v>
      </c>
      <c r="L282" s="84">
        <v>1409519043</v>
      </c>
      <c r="M282" s="84">
        <v>865379346</v>
      </c>
      <c r="N282" s="220">
        <f t="shared" ref="N282:N312" si="45">L282+M282</f>
        <v>2274898389</v>
      </c>
      <c r="O282" s="113">
        <f t="shared" ref="O282:O312" si="46">M282-M281</f>
        <v>16821766</v>
      </c>
      <c r="P282" s="113">
        <f t="shared" ref="P282:P312" si="47">N282-N281</f>
        <v>46605251</v>
      </c>
      <c r="Q282" s="229">
        <v>0</v>
      </c>
    </row>
    <row r="283" spans="4:23">
      <c r="I283" s="213"/>
      <c r="J283" s="113">
        <f t="shared" si="44"/>
        <v>46239300</v>
      </c>
      <c r="K283" s="213" t="s">
        <v>5404</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5407</v>
      </c>
      <c r="L284" s="84">
        <v>1473439379</v>
      </c>
      <c r="M284" s="84">
        <v>906774030</v>
      </c>
      <c r="N284" s="220">
        <f t="shared" si="45"/>
        <v>2380213409</v>
      </c>
      <c r="O284" s="113">
        <f t="shared" si="46"/>
        <v>14380845</v>
      </c>
      <c r="P284" s="113">
        <f t="shared" si="47"/>
        <v>32061881</v>
      </c>
      <c r="Q284" s="229">
        <v>0</v>
      </c>
    </row>
    <row r="285" spans="4:23">
      <c r="I285" s="189" t="s">
        <v>5410</v>
      </c>
      <c r="J285" s="188">
        <f t="shared" si="44"/>
        <v>4331396</v>
      </c>
      <c r="K285" s="189" t="s">
        <v>5408</v>
      </c>
      <c r="L285" s="237">
        <v>1477770775</v>
      </c>
      <c r="M285" s="237">
        <v>915475851</v>
      </c>
      <c r="N285" s="220">
        <f t="shared" si="45"/>
        <v>2393246626</v>
      </c>
      <c r="O285" s="188">
        <f>M285-M284+550000</f>
        <v>9251821</v>
      </c>
      <c r="P285" s="188">
        <f>N285-N284+550000</f>
        <v>13583217</v>
      </c>
      <c r="Q285" s="229">
        <v>-550000</v>
      </c>
    </row>
    <row r="286" spans="4:23">
      <c r="I286" s="189" t="s">
        <v>5416</v>
      </c>
      <c r="J286" s="188">
        <f t="shared" si="44"/>
        <v>39081054</v>
      </c>
      <c r="K286" s="189" t="s">
        <v>5414</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5415</v>
      </c>
      <c r="L287" s="84">
        <v>1560436105</v>
      </c>
      <c r="M287" s="84">
        <v>940791901</v>
      </c>
      <c r="N287" s="220">
        <f t="shared" si="45"/>
        <v>2501228006</v>
      </c>
      <c r="O287" s="113">
        <f t="shared" si="46"/>
        <v>35665189</v>
      </c>
      <c r="P287" s="113">
        <f t="shared" si="47"/>
        <v>79249465</v>
      </c>
      <c r="Q287" s="229">
        <v>0</v>
      </c>
    </row>
    <row r="288" spans="4:23">
      <c r="I288" s="189" t="s">
        <v>5427</v>
      </c>
      <c r="J288" s="188">
        <f t="shared" si="44"/>
        <v>83455296</v>
      </c>
      <c r="K288" s="189" t="s">
        <v>5426</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5429</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5435</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5442</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5458</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5482</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5481</v>
      </c>
      <c r="L294" s="84">
        <v>1775456973</v>
      </c>
      <c r="M294" s="84">
        <v>1056375788</v>
      </c>
      <c r="N294" s="220">
        <f t="shared" si="45"/>
        <v>2831832761</v>
      </c>
      <c r="O294" s="113">
        <f t="shared" si="46"/>
        <v>11375788</v>
      </c>
      <c r="P294" s="113">
        <f t="shared" si="47"/>
        <v>26832761</v>
      </c>
      <c r="Q294" s="229">
        <v>0</v>
      </c>
    </row>
    <row r="295" spans="9:21">
      <c r="I295" s="213" t="s">
        <v>5494</v>
      </c>
      <c r="J295" s="113">
        <f>L295-L294-3000000</f>
        <v>19422686</v>
      </c>
      <c r="K295" s="213" t="s">
        <v>5485</v>
      </c>
      <c r="L295" s="84">
        <v>1797879659</v>
      </c>
      <c r="M295" s="84">
        <v>1054864328</v>
      </c>
      <c r="N295" s="220">
        <f t="shared" si="45"/>
        <v>2852743987</v>
      </c>
      <c r="O295" s="113">
        <f t="shared" si="46"/>
        <v>-1511460</v>
      </c>
      <c r="P295" s="113">
        <f>N295-N294-3000000</f>
        <v>17911226</v>
      </c>
      <c r="Q295" s="229">
        <v>3000000</v>
      </c>
    </row>
    <row r="296" spans="9:21">
      <c r="I296" s="216" t="s">
        <v>5495</v>
      </c>
      <c r="J296" s="247">
        <f>L296-L295-7000000</f>
        <v>-47124934</v>
      </c>
      <c r="K296" s="216" t="s">
        <v>5486</v>
      </c>
      <c r="L296" s="248">
        <v>1757754725</v>
      </c>
      <c r="M296" s="248">
        <v>1037677810</v>
      </c>
      <c r="N296" s="247">
        <f t="shared" si="45"/>
        <v>2795432535</v>
      </c>
      <c r="O296" s="247">
        <f>M296-M295+4190000</f>
        <v>-12996518</v>
      </c>
      <c r="P296" s="247">
        <f>N296-N295+4190000-7000000</f>
        <v>-60121452</v>
      </c>
      <c r="Q296" s="229">
        <v>2810000</v>
      </c>
    </row>
    <row r="297" spans="9:21">
      <c r="I297" s="216" t="s">
        <v>5506</v>
      </c>
      <c r="J297" s="247">
        <f t="shared" si="44"/>
        <v>-53501669</v>
      </c>
      <c r="K297" s="216" t="s">
        <v>5498</v>
      </c>
      <c r="L297" s="248">
        <v>1704253056</v>
      </c>
      <c r="M297" s="248">
        <v>973497834</v>
      </c>
      <c r="N297" s="247">
        <f t="shared" si="45"/>
        <v>2677750890</v>
      </c>
      <c r="O297" s="247">
        <f>M297-M296+26000000</f>
        <v>-38179976</v>
      </c>
      <c r="P297" s="247">
        <f>N297-N296+26000000</f>
        <v>-91681645</v>
      </c>
      <c r="Q297" s="229">
        <v>-26000000</v>
      </c>
    </row>
    <row r="298" spans="9:21">
      <c r="I298" s="216" t="s">
        <v>5511</v>
      </c>
      <c r="J298" s="247">
        <f>L298-L297-8800000</f>
        <v>26691445</v>
      </c>
      <c r="K298" s="216" t="s">
        <v>5504</v>
      </c>
      <c r="L298" s="248">
        <v>1739744501</v>
      </c>
      <c r="M298" s="248">
        <v>914540569</v>
      </c>
      <c r="N298" s="247">
        <f t="shared" si="45"/>
        <v>2654285070</v>
      </c>
      <c r="O298" s="247">
        <f>M298-M297+81800000</f>
        <v>22842735</v>
      </c>
      <c r="P298" s="247">
        <f>N298-N297+73000000</f>
        <v>49534180</v>
      </c>
      <c r="Q298" s="229">
        <v>-73000000</v>
      </c>
    </row>
    <row r="299" spans="9:21">
      <c r="I299" s="216" t="s">
        <v>5516</v>
      </c>
      <c r="J299" s="247">
        <f t="shared" si="44"/>
        <v>32696702</v>
      </c>
      <c r="K299" s="216" t="s">
        <v>5505</v>
      </c>
      <c r="L299" s="248">
        <v>1772441203</v>
      </c>
      <c r="M299" s="248">
        <v>900025831</v>
      </c>
      <c r="N299" s="247">
        <f t="shared" si="45"/>
        <v>2672467034</v>
      </c>
      <c r="O299" s="247">
        <f>M299-M298+34000000</f>
        <v>19485262</v>
      </c>
      <c r="P299" s="247">
        <f>N299-N298+34000000</f>
        <v>52181964</v>
      </c>
      <c r="Q299" s="229">
        <v>-34000000</v>
      </c>
    </row>
    <row r="300" spans="9:21">
      <c r="I300" s="189" t="s">
        <v>5522</v>
      </c>
      <c r="J300" s="188">
        <f>L300-L299-40000000</f>
        <v>74215198</v>
      </c>
      <c r="K300" s="189" t="s">
        <v>5514</v>
      </c>
      <c r="L300" s="237">
        <v>1886656401</v>
      </c>
      <c r="M300" s="237">
        <v>937495623</v>
      </c>
      <c r="N300" s="220">
        <f t="shared" si="45"/>
        <v>2824152024</v>
      </c>
      <c r="O300" s="188">
        <f t="shared" si="46"/>
        <v>37469792</v>
      </c>
      <c r="P300" s="188">
        <f>N300-N299-40000000</f>
        <v>111684990</v>
      </c>
      <c r="Q300" s="229">
        <v>40000000</v>
      </c>
      <c r="S300" t="s">
        <v>25</v>
      </c>
      <c r="T300" t="s">
        <v>25</v>
      </c>
    </row>
    <row r="301" spans="9:21">
      <c r="I301" s="189" t="s">
        <v>5280</v>
      </c>
      <c r="J301" s="188">
        <f t="shared" si="44"/>
        <v>39912599</v>
      </c>
      <c r="K301" s="189" t="s">
        <v>5515</v>
      </c>
      <c r="L301" s="237">
        <v>1926569000</v>
      </c>
      <c r="M301" s="237">
        <v>959442000</v>
      </c>
      <c r="N301" s="35">
        <f t="shared" si="45"/>
        <v>2886011000</v>
      </c>
      <c r="O301" s="188">
        <f>M301-M300-300000</f>
        <v>21646377</v>
      </c>
      <c r="P301" s="188">
        <f>N301-N300-300000</f>
        <v>61558976</v>
      </c>
      <c r="Q301" s="229">
        <v>300000</v>
      </c>
    </row>
    <row r="302" spans="9:21">
      <c r="I302" s="189" t="s">
        <v>5540</v>
      </c>
      <c r="J302" s="188">
        <f t="shared" si="44"/>
        <v>-55865388</v>
      </c>
      <c r="K302" s="189" t="s">
        <v>5539</v>
      </c>
      <c r="L302" s="237">
        <v>1870703612</v>
      </c>
      <c r="M302" s="237">
        <v>925667252</v>
      </c>
      <c r="N302" s="188">
        <f t="shared" si="45"/>
        <v>2796370864</v>
      </c>
      <c r="O302" s="188">
        <f>M302-M301-1000000</f>
        <v>-34774748</v>
      </c>
      <c r="P302" s="188">
        <f>N302-N301-1000000</f>
        <v>-90640136</v>
      </c>
      <c r="Q302" s="229">
        <v>1000000</v>
      </c>
    </row>
    <row r="303" spans="9:21">
      <c r="I303" s="213"/>
      <c r="J303" s="113">
        <f t="shared" si="44"/>
        <v>-97273791</v>
      </c>
      <c r="K303" s="213" t="s">
        <v>5547</v>
      </c>
      <c r="L303" s="84">
        <v>1773429821</v>
      </c>
      <c r="M303" s="84">
        <v>878782830</v>
      </c>
      <c r="N303" s="113">
        <f t="shared" si="45"/>
        <v>2652212651</v>
      </c>
      <c r="O303" s="113">
        <f t="shared" si="46"/>
        <v>-46884422</v>
      </c>
      <c r="P303" s="113">
        <f t="shared" si="47"/>
        <v>-144158213</v>
      </c>
      <c r="Q303" s="229">
        <v>0</v>
      </c>
    </row>
    <row r="304" spans="9:21">
      <c r="I304" s="213" t="s">
        <v>25</v>
      </c>
      <c r="J304" s="113">
        <f t="shared" si="44"/>
        <v>-1773429821</v>
      </c>
      <c r="K304" s="213" t="s">
        <v>5550</v>
      </c>
      <c r="L304" s="84">
        <v>0</v>
      </c>
      <c r="M304" s="84">
        <v>0</v>
      </c>
      <c r="N304" s="113">
        <f t="shared" si="45"/>
        <v>0</v>
      </c>
      <c r="O304" s="113">
        <f t="shared" si="46"/>
        <v>-878782830</v>
      </c>
      <c r="P304" s="113">
        <f t="shared" si="47"/>
        <v>-2652212651</v>
      </c>
      <c r="Q304" s="229">
        <v>0</v>
      </c>
    </row>
    <row r="305" spans="9:17">
      <c r="I305" s="213" t="s">
        <v>5552</v>
      </c>
      <c r="J305" s="113">
        <f>L305-L304-400000</f>
        <v>-400000</v>
      </c>
      <c r="K305" s="213" t="s">
        <v>5551</v>
      </c>
      <c r="L305" s="84">
        <v>0</v>
      </c>
      <c r="M305" s="84">
        <v>0</v>
      </c>
      <c r="N305" s="113">
        <f t="shared" si="45"/>
        <v>0</v>
      </c>
      <c r="O305" s="113">
        <f>M305-M304-400000</f>
        <v>-400000</v>
      </c>
      <c r="P305" s="113">
        <f>N305-N304-800000</f>
        <v>-800000</v>
      </c>
      <c r="Q305" s="229">
        <v>800000</v>
      </c>
    </row>
    <row r="306" spans="9:17">
      <c r="I306" s="213"/>
      <c r="J306" s="113">
        <f t="shared" si="44"/>
        <v>0</v>
      </c>
      <c r="K306" s="213">
        <v>0</v>
      </c>
      <c r="L306" s="84">
        <v>0</v>
      </c>
      <c r="M306" s="84">
        <v>0</v>
      </c>
      <c r="N306" s="113">
        <f t="shared" si="45"/>
        <v>0</v>
      </c>
      <c r="O306" s="113">
        <f t="shared" si="46"/>
        <v>0</v>
      </c>
      <c r="P306" s="113">
        <f t="shared" si="47"/>
        <v>0</v>
      </c>
    </row>
    <row r="307" spans="9:17">
      <c r="I307" s="213"/>
      <c r="J307" s="113">
        <f t="shared" si="44"/>
        <v>0</v>
      </c>
      <c r="K307" s="213">
        <v>0</v>
      </c>
      <c r="L307" s="84">
        <v>0</v>
      </c>
      <c r="M307" s="84">
        <v>0</v>
      </c>
      <c r="N307" s="113">
        <f t="shared" si="45"/>
        <v>0</v>
      </c>
      <c r="O307" s="113">
        <f t="shared" si="46"/>
        <v>0</v>
      </c>
      <c r="P307" s="113">
        <f t="shared" si="47"/>
        <v>0</v>
      </c>
    </row>
    <row r="308" spans="9:17">
      <c r="I308" s="213"/>
      <c r="J308" s="113">
        <f t="shared" si="44"/>
        <v>0</v>
      </c>
      <c r="K308" s="213">
        <v>0</v>
      </c>
      <c r="L308" s="84">
        <v>0</v>
      </c>
      <c r="M308" s="84">
        <v>0</v>
      </c>
      <c r="N308" s="113">
        <f t="shared" si="45"/>
        <v>0</v>
      </c>
      <c r="O308" s="113">
        <f t="shared" si="46"/>
        <v>0</v>
      </c>
      <c r="P308" s="113">
        <f t="shared" si="47"/>
        <v>0</v>
      </c>
    </row>
    <row r="309" spans="9:17">
      <c r="I309" s="213"/>
      <c r="J309" s="113">
        <f t="shared" si="44"/>
        <v>0</v>
      </c>
      <c r="K309" s="213">
        <v>0</v>
      </c>
      <c r="L309" s="84">
        <v>0</v>
      </c>
      <c r="M309" s="84">
        <v>0</v>
      </c>
      <c r="N309" s="113">
        <f t="shared" si="45"/>
        <v>0</v>
      </c>
      <c r="O309" s="113">
        <f t="shared" si="46"/>
        <v>0</v>
      </c>
      <c r="P309" s="113">
        <f t="shared" si="47"/>
        <v>0</v>
      </c>
    </row>
    <row r="310" spans="9:17">
      <c r="I310" s="213"/>
      <c r="J310" s="113">
        <f t="shared" si="44"/>
        <v>0</v>
      </c>
      <c r="K310" s="213">
        <v>0</v>
      </c>
      <c r="L310" s="84">
        <v>0</v>
      </c>
      <c r="M310" s="84">
        <v>0</v>
      </c>
      <c r="N310" s="113">
        <f t="shared" si="45"/>
        <v>0</v>
      </c>
      <c r="O310" s="113">
        <f t="shared" si="46"/>
        <v>0</v>
      </c>
      <c r="P310" s="113">
        <f t="shared" si="47"/>
        <v>0</v>
      </c>
    </row>
    <row r="311" spans="9:17">
      <c r="I311" s="213"/>
      <c r="J311" s="113">
        <f t="shared" si="44"/>
        <v>0</v>
      </c>
      <c r="K311" s="213">
        <v>0</v>
      </c>
      <c r="L311" s="84">
        <v>0</v>
      </c>
      <c r="M311" s="84">
        <v>0</v>
      </c>
      <c r="N311" s="113">
        <f t="shared" si="45"/>
        <v>0</v>
      </c>
      <c r="O311" s="113">
        <f t="shared" si="46"/>
        <v>0</v>
      </c>
      <c r="P311" s="113">
        <f t="shared" si="47"/>
        <v>0</v>
      </c>
    </row>
    <row r="312" spans="9:17">
      <c r="I312" s="213"/>
      <c r="J312" s="113">
        <f t="shared" si="44"/>
        <v>0</v>
      </c>
      <c r="K312" s="213">
        <v>0</v>
      </c>
      <c r="L312" s="84">
        <v>0</v>
      </c>
      <c r="M312" s="84">
        <v>0</v>
      </c>
      <c r="N312" s="113">
        <f t="shared" si="45"/>
        <v>0</v>
      </c>
      <c r="O312" s="113">
        <f t="shared" si="46"/>
        <v>0</v>
      </c>
      <c r="P312" s="113">
        <f t="shared" si="47"/>
        <v>0</v>
      </c>
    </row>
    <row r="313" spans="9:17">
      <c r="I313" s="213"/>
      <c r="J313" s="113">
        <f t="shared" si="32"/>
        <v>0</v>
      </c>
      <c r="K313" s="213"/>
      <c r="L313" s="84"/>
      <c r="M313" s="84"/>
      <c r="N313" s="113">
        <f t="shared" si="33"/>
        <v>0</v>
      </c>
      <c r="O313" s="113">
        <f t="shared" si="34"/>
        <v>0</v>
      </c>
      <c r="P313" s="113">
        <f t="shared" si="35"/>
        <v>0</v>
      </c>
    </row>
    <row r="316" spans="9:17">
      <c r="N316" t="s">
        <v>25</v>
      </c>
      <c r="O316" t="s">
        <v>25</v>
      </c>
    </row>
    <row r="317" spans="9:17">
      <c r="L317" t="s">
        <v>25</v>
      </c>
      <c r="N317" t="s">
        <v>25</v>
      </c>
      <c r="O317" t="s">
        <v>25</v>
      </c>
    </row>
    <row r="318" spans="9:17">
      <c r="P318" t="s">
        <v>25</v>
      </c>
    </row>
    <row r="319" spans="9:17">
      <c r="N319" t="s">
        <v>25</v>
      </c>
      <c r="O319" t="s">
        <v>25</v>
      </c>
    </row>
    <row r="320" spans="9:17">
      <c r="N320" t="s">
        <v>25</v>
      </c>
      <c r="O320" t="s">
        <v>25</v>
      </c>
    </row>
    <row r="322" spans="14:14">
      <c r="N32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5455</v>
      </c>
      <c r="B1">
        <v>0.24</v>
      </c>
    </row>
    <row r="4" spans="1:21">
      <c r="A4" s="99" t="s">
        <v>3637</v>
      </c>
      <c r="B4" s="99" t="s">
        <v>180</v>
      </c>
      <c r="C4" s="99" t="s">
        <v>5459</v>
      </c>
      <c r="D4" s="99" t="s">
        <v>5460</v>
      </c>
      <c r="E4" s="99" t="s">
        <v>5467</v>
      </c>
      <c r="F4" s="99" t="s">
        <v>5461</v>
      </c>
      <c r="G4" s="99" t="s">
        <v>5462</v>
      </c>
      <c r="H4" s="99" t="s">
        <v>5463</v>
      </c>
      <c r="I4" s="99" t="s">
        <v>5464</v>
      </c>
      <c r="J4" s="99" t="s">
        <v>5465</v>
      </c>
      <c r="K4" s="99" t="s">
        <v>5466</v>
      </c>
      <c r="L4" s="99" t="s">
        <v>5454</v>
      </c>
      <c r="M4" s="99" t="s">
        <v>5456</v>
      </c>
      <c r="N4" s="99" t="s">
        <v>5457</v>
      </c>
      <c r="O4" s="99"/>
    </row>
    <row r="5" spans="1:21">
      <c r="A5" s="99">
        <v>0</v>
      </c>
      <c r="B5" s="99" t="s">
        <v>5453</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5458</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5482</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5481</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5485</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9" t="s">
        <v>4524</v>
      </c>
      <c r="B52" s="289" t="s">
        <v>5469</v>
      </c>
      <c r="C52" s="289" t="s">
        <v>5470</v>
      </c>
      <c r="D52" s="289" t="s">
        <v>5471</v>
      </c>
      <c r="E52" s="289" t="s">
        <v>4263</v>
      </c>
      <c r="F52" s="289" t="s">
        <v>5472</v>
      </c>
      <c r="G52" s="289" t="s">
        <v>5473</v>
      </c>
      <c r="H52" s="289" t="s">
        <v>5474</v>
      </c>
      <c r="I52" s="289" t="s">
        <v>5475</v>
      </c>
      <c r="J52" s="289" t="s">
        <v>5476</v>
      </c>
      <c r="K52" s="289" t="s">
        <v>5477</v>
      </c>
      <c r="L52" s="289" t="s">
        <v>5478</v>
      </c>
      <c r="M52" s="289" t="s">
        <v>5479</v>
      </c>
      <c r="N52" s="289" t="s">
        <v>5480</v>
      </c>
    </row>
    <row r="53" spans="1:14" ht="15.75" thickBot="1">
      <c r="A53" s="290" t="s">
        <v>4233</v>
      </c>
      <c r="B53" s="291">
        <v>2806332</v>
      </c>
      <c r="C53" s="291">
        <v>5993639424</v>
      </c>
      <c r="D53" s="291">
        <v>2136</v>
      </c>
      <c r="E53" s="291">
        <v>5184</v>
      </c>
      <c r="F53" s="291">
        <v>14406181843</v>
      </c>
      <c r="G53" s="291">
        <v>2157</v>
      </c>
      <c r="H53" s="291">
        <v>1296909440</v>
      </c>
      <c r="I53" s="291">
        <v>314122000</v>
      </c>
      <c r="J53" s="291">
        <v>8412542419</v>
      </c>
      <c r="K53" s="292">
        <v>1.4036</v>
      </c>
      <c r="L53" s="291">
        <v>10023573859</v>
      </c>
      <c r="M53" s="292">
        <v>1.1309</v>
      </c>
      <c r="N53" s="292">
        <v>0.83099999999999996</v>
      </c>
    </row>
    <row r="54" spans="1:14" ht="15.75" thickBot="1">
      <c r="A54" s="290" t="s">
        <v>4383</v>
      </c>
      <c r="B54" s="291">
        <v>27101</v>
      </c>
      <c r="C54" s="291">
        <v>2027973760</v>
      </c>
      <c r="D54" s="291">
        <v>74830</v>
      </c>
      <c r="E54" s="291">
        <v>75601</v>
      </c>
      <c r="F54" s="291">
        <v>2028886290</v>
      </c>
      <c r="G54" s="291">
        <v>75567</v>
      </c>
      <c r="H54" s="291">
        <v>3434430</v>
      </c>
      <c r="I54" s="290">
        <v>0</v>
      </c>
      <c r="J54" s="291">
        <v>912530</v>
      </c>
      <c r="K54" s="292">
        <v>4.0000000000000002E-4</v>
      </c>
      <c r="L54" s="291">
        <v>4346960</v>
      </c>
      <c r="M54" s="292">
        <v>2E-3</v>
      </c>
      <c r="N54" s="292">
        <v>0.11700000000000001</v>
      </c>
    </row>
    <row r="55" spans="1:14" ht="15.75" thickBot="1">
      <c r="A55" s="290" t="s">
        <v>4397</v>
      </c>
      <c r="B55" s="291">
        <v>54523</v>
      </c>
      <c r="C55" s="291">
        <v>397795200</v>
      </c>
      <c r="D55" s="291">
        <v>7296</v>
      </c>
      <c r="E55" s="291">
        <v>12992</v>
      </c>
      <c r="F55" s="291">
        <v>701456279</v>
      </c>
      <c r="G55" s="291">
        <v>7368</v>
      </c>
      <c r="H55" s="291">
        <v>455670432</v>
      </c>
      <c r="I55" s="291">
        <v>162660000</v>
      </c>
      <c r="J55" s="291">
        <v>303661079</v>
      </c>
      <c r="K55" s="292">
        <v>0.76339999999999997</v>
      </c>
      <c r="L55" s="291">
        <v>921991511</v>
      </c>
      <c r="M55" s="292">
        <v>0.53590000000000004</v>
      </c>
      <c r="N55" s="292">
        <v>4.0500000000000001E-2</v>
      </c>
    </row>
    <row r="56" spans="1:14" ht="15.75" thickBot="1">
      <c r="A56" s="290" t="s">
        <v>5431</v>
      </c>
      <c r="B56" s="291">
        <v>45598</v>
      </c>
      <c r="C56" s="291">
        <v>182155728</v>
      </c>
      <c r="D56" s="291">
        <v>3995</v>
      </c>
      <c r="E56" s="291">
        <v>3918</v>
      </c>
      <c r="F56" s="291">
        <v>176911098</v>
      </c>
      <c r="G56" s="291">
        <v>4034</v>
      </c>
      <c r="H56" s="291">
        <v>3904</v>
      </c>
      <c r="I56" s="290">
        <v>0</v>
      </c>
      <c r="J56" s="291">
        <v>-5244630</v>
      </c>
      <c r="K56" s="292">
        <v>-2.8799999999999999E-2</v>
      </c>
      <c r="L56" s="291">
        <v>-5240726</v>
      </c>
      <c r="M56" s="292">
        <v>-2.86E-2</v>
      </c>
      <c r="N56" s="292">
        <v>1.0200000000000001E-2</v>
      </c>
    </row>
    <row r="57" spans="1:14" ht="15.75" thickBot="1">
      <c r="A57" s="290" t="s">
        <v>5424</v>
      </c>
      <c r="B57" s="291">
        <v>3073</v>
      </c>
      <c r="C57" s="291">
        <v>14075376</v>
      </c>
      <c r="D57" s="291">
        <v>4580</v>
      </c>
      <c r="E57" s="291">
        <v>4903</v>
      </c>
      <c r="F57" s="291">
        <v>14920017</v>
      </c>
      <c r="G57" s="291">
        <v>4625</v>
      </c>
      <c r="H57" s="291">
        <v>1818148</v>
      </c>
      <c r="I57" s="290">
        <v>0</v>
      </c>
      <c r="J57" s="291">
        <v>844641</v>
      </c>
      <c r="K57" s="293">
        <v>0.06</v>
      </c>
      <c r="L57" s="291">
        <v>2662789</v>
      </c>
      <c r="M57" s="292">
        <v>5.2499999999999998E-2</v>
      </c>
      <c r="N57" s="292">
        <v>8.9999999999999998E-4</v>
      </c>
    </row>
    <row r="58" spans="1:14" ht="15.75" thickBot="1">
      <c r="A58" s="290" t="s">
        <v>5411</v>
      </c>
      <c r="B58" s="290">
        <v>369</v>
      </c>
      <c r="C58" s="291">
        <v>2085047</v>
      </c>
      <c r="D58" s="291">
        <v>5651</v>
      </c>
      <c r="E58" s="291">
        <v>7535</v>
      </c>
      <c r="F58" s="291">
        <v>2753306</v>
      </c>
      <c r="G58" s="291">
        <v>5707</v>
      </c>
      <c r="H58" s="290">
        <v>0</v>
      </c>
      <c r="I58" s="290">
        <v>0</v>
      </c>
      <c r="J58" s="291">
        <v>668259</v>
      </c>
      <c r="K58" s="292">
        <v>0.32050000000000001</v>
      </c>
      <c r="L58" s="291">
        <v>668259</v>
      </c>
      <c r="M58" s="292">
        <v>0.32050000000000001</v>
      </c>
      <c r="N58" s="292">
        <v>2.0000000000000001E-4</v>
      </c>
    </row>
    <row r="59" spans="1:14" ht="15.75" thickBot="1">
      <c r="A59" s="290" t="s">
        <v>4908</v>
      </c>
      <c r="B59" s="290">
        <v>100</v>
      </c>
      <c r="C59" s="291">
        <v>2844133</v>
      </c>
      <c r="D59" s="291">
        <v>28441</v>
      </c>
      <c r="E59" s="291">
        <v>28361</v>
      </c>
      <c r="F59" s="291">
        <v>2808448</v>
      </c>
      <c r="G59" s="291">
        <v>28721</v>
      </c>
      <c r="H59" s="290">
        <v>0</v>
      </c>
      <c r="I59" s="290">
        <v>0</v>
      </c>
      <c r="J59" s="291">
        <v>-35685</v>
      </c>
      <c r="K59" s="292">
        <v>-1.2500000000000001E-2</v>
      </c>
      <c r="L59" s="291">
        <v>-35685</v>
      </c>
      <c r="M59" s="292">
        <v>-1.2500000000000001E-2</v>
      </c>
      <c r="N59" s="292">
        <v>2.0000000000000001E-4</v>
      </c>
    </row>
    <row r="60" spans="1:14" ht="15.75" thickBot="1">
      <c r="A60" s="290" t="s">
        <v>5401</v>
      </c>
      <c r="B60" s="290">
        <v>38</v>
      </c>
      <c r="C60" s="291">
        <v>1126087</v>
      </c>
      <c r="D60" s="291">
        <v>29634</v>
      </c>
      <c r="E60" s="291">
        <v>45760</v>
      </c>
      <c r="F60" s="291">
        <v>1721926</v>
      </c>
      <c r="G60" s="291">
        <v>29926</v>
      </c>
      <c r="H60" s="290">
        <v>0</v>
      </c>
      <c r="I60" s="290">
        <v>0</v>
      </c>
      <c r="J60" s="291">
        <v>595839</v>
      </c>
      <c r="K60" s="292">
        <v>0.52910000000000001</v>
      </c>
      <c r="L60" s="291">
        <v>595839</v>
      </c>
      <c r="M60" s="292">
        <v>0.52910000000000001</v>
      </c>
      <c r="N60" s="292">
        <v>1E-4</v>
      </c>
    </row>
    <row r="61" spans="1:14" ht="15.75" thickBot="1">
      <c r="A61" s="290" t="s">
        <v>5443</v>
      </c>
      <c r="B61" s="290">
        <v>67</v>
      </c>
      <c r="C61" s="291">
        <v>1144282</v>
      </c>
      <c r="D61" s="291">
        <v>17079</v>
      </c>
      <c r="E61" s="291">
        <v>17000</v>
      </c>
      <c r="F61" s="291">
        <v>1127895</v>
      </c>
      <c r="G61" s="291">
        <v>17247</v>
      </c>
      <c r="H61" s="290">
        <v>0</v>
      </c>
      <c r="I61" s="290">
        <v>0</v>
      </c>
      <c r="J61" s="291">
        <v>-16387</v>
      </c>
      <c r="K61" s="292">
        <v>-1.43E-2</v>
      </c>
      <c r="L61" s="291">
        <v>-16387</v>
      </c>
      <c r="M61" s="292">
        <v>-1.43E-2</v>
      </c>
      <c r="N61" s="292">
        <v>1E-4</v>
      </c>
    </row>
    <row r="63" spans="1:14" ht="15.75" thickBot="1"/>
    <row r="64" spans="1:14" ht="27" thickBot="1">
      <c r="A64" s="289" t="s">
        <v>4524</v>
      </c>
      <c r="B64" s="289" t="s">
        <v>5469</v>
      </c>
      <c r="C64" s="289" t="s">
        <v>5470</v>
      </c>
      <c r="D64" s="289" t="s">
        <v>5471</v>
      </c>
      <c r="E64" s="289" t="s">
        <v>4263</v>
      </c>
      <c r="F64" s="289" t="s">
        <v>5472</v>
      </c>
      <c r="G64" s="289" t="s">
        <v>5473</v>
      </c>
      <c r="H64" s="289" t="s">
        <v>5474</v>
      </c>
      <c r="I64" s="289" t="s">
        <v>5475</v>
      </c>
      <c r="J64" s="289" t="s">
        <v>5476</v>
      </c>
      <c r="K64" s="289" t="s">
        <v>5477</v>
      </c>
      <c r="L64" s="289" t="s">
        <v>5478</v>
      </c>
      <c r="M64" s="289" t="s">
        <v>5479</v>
      </c>
      <c r="N64" s="289" t="s">
        <v>5480</v>
      </c>
    </row>
    <row r="65" spans="1:14" ht="15.75" thickBot="1">
      <c r="A65" s="290" t="s">
        <v>4233</v>
      </c>
      <c r="B65" s="291">
        <v>1574177</v>
      </c>
      <c r="C65" s="291">
        <v>3344449792</v>
      </c>
      <c r="D65" s="291">
        <v>2125</v>
      </c>
      <c r="E65" s="291">
        <v>5184</v>
      </c>
      <c r="F65" s="291">
        <v>8080968366</v>
      </c>
      <c r="G65" s="291">
        <v>2146</v>
      </c>
      <c r="H65" s="291">
        <v>309993152</v>
      </c>
      <c r="I65" s="291">
        <v>20607250</v>
      </c>
      <c r="J65" s="291">
        <v>4736518574</v>
      </c>
      <c r="K65" s="292">
        <v>1.4161999999999999</v>
      </c>
      <c r="L65" s="291">
        <v>5067118976</v>
      </c>
      <c r="M65" s="292">
        <v>1.2862</v>
      </c>
      <c r="N65" s="292">
        <v>0.78559999999999997</v>
      </c>
    </row>
    <row r="66" spans="1:14" ht="15.75" thickBot="1">
      <c r="A66" s="290" t="s">
        <v>4397</v>
      </c>
      <c r="B66" s="291">
        <v>146408</v>
      </c>
      <c r="C66" s="291">
        <v>824376640</v>
      </c>
      <c r="D66" s="291">
        <v>5631</v>
      </c>
      <c r="E66" s="291">
        <v>12992</v>
      </c>
      <c r="F66" s="291">
        <v>1883586942</v>
      </c>
      <c r="G66" s="291">
        <v>5686</v>
      </c>
      <c r="H66" s="291">
        <v>132503776</v>
      </c>
      <c r="I66" s="291">
        <v>241591500</v>
      </c>
      <c r="J66" s="291">
        <v>1059210302</v>
      </c>
      <c r="K66" s="292">
        <v>1.2848999999999999</v>
      </c>
      <c r="L66" s="291">
        <v>1433305578</v>
      </c>
      <c r="M66" s="292">
        <v>1.4287000000000001</v>
      </c>
      <c r="N66" s="292">
        <v>0.18310000000000001</v>
      </c>
    </row>
    <row r="67" spans="1:14" ht="15.75" thickBot="1">
      <c r="A67" s="290" t="s">
        <v>4383</v>
      </c>
      <c r="B67" s="291">
        <v>3975</v>
      </c>
      <c r="C67" s="291">
        <v>284494112</v>
      </c>
      <c r="D67" s="291">
        <v>71571</v>
      </c>
      <c r="E67" s="291">
        <v>75601</v>
      </c>
      <c r="F67" s="291">
        <v>297583964</v>
      </c>
      <c r="G67" s="291">
        <v>72276</v>
      </c>
      <c r="H67" s="291">
        <v>2696941</v>
      </c>
      <c r="I67" s="290">
        <v>0</v>
      </c>
      <c r="J67" s="291">
        <v>13089852</v>
      </c>
      <c r="K67" s="292">
        <v>4.5999999999999999E-2</v>
      </c>
      <c r="L67" s="291">
        <v>15786793</v>
      </c>
      <c r="M67" s="292">
        <v>4.36E-2</v>
      </c>
      <c r="N67" s="292">
        <v>2.8899999999999999E-2</v>
      </c>
    </row>
    <row r="68" spans="1:14" ht="15.75" thickBot="1">
      <c r="A68" s="290" t="s">
        <v>5431</v>
      </c>
      <c r="B68" s="291">
        <v>4687</v>
      </c>
      <c r="C68" s="291">
        <v>18756876</v>
      </c>
      <c r="D68" s="291">
        <v>4002</v>
      </c>
      <c r="E68" s="291">
        <v>3918</v>
      </c>
      <c r="F68" s="291">
        <v>18184620</v>
      </c>
      <c r="G68" s="291">
        <v>4041</v>
      </c>
      <c r="H68" s="290">
        <v>0</v>
      </c>
      <c r="I68" s="290">
        <v>0</v>
      </c>
      <c r="J68" s="291">
        <v>-572256</v>
      </c>
      <c r="K68" s="292">
        <v>-3.0499999999999999E-2</v>
      </c>
      <c r="L68" s="291">
        <v>-572256</v>
      </c>
      <c r="M68" s="292">
        <v>-3.0499999999999999E-2</v>
      </c>
      <c r="N68" s="292">
        <v>1.8E-3</v>
      </c>
    </row>
    <row r="69" spans="1:14" ht="15.75" thickBot="1">
      <c r="A69" s="290" t="s">
        <v>5411</v>
      </c>
      <c r="B69" s="290">
        <v>369</v>
      </c>
      <c r="C69" s="291">
        <v>2085047</v>
      </c>
      <c r="D69" s="291">
        <v>5651</v>
      </c>
      <c r="E69" s="291">
        <v>7535</v>
      </c>
      <c r="F69" s="291">
        <v>2753306</v>
      </c>
      <c r="G69" s="291">
        <v>5707</v>
      </c>
      <c r="H69" s="290">
        <v>0</v>
      </c>
      <c r="I69" s="290">
        <v>0</v>
      </c>
      <c r="J69" s="291">
        <v>668259</v>
      </c>
      <c r="K69" s="292">
        <v>0.32050000000000001</v>
      </c>
      <c r="L69" s="291">
        <v>668259</v>
      </c>
      <c r="M69" s="292">
        <v>0.32050000000000001</v>
      </c>
      <c r="N69" s="292">
        <v>2.9999999999999997E-4</v>
      </c>
    </row>
    <row r="70" spans="1:14" ht="15.75" thickBot="1">
      <c r="A70" s="290" t="s">
        <v>5401</v>
      </c>
      <c r="B70" s="290">
        <v>38</v>
      </c>
      <c r="C70" s="291">
        <v>1126087</v>
      </c>
      <c r="D70" s="291">
        <v>29634</v>
      </c>
      <c r="E70" s="291">
        <v>45760</v>
      </c>
      <c r="F70" s="291">
        <v>1721926</v>
      </c>
      <c r="G70" s="291">
        <v>29926</v>
      </c>
      <c r="H70" s="290">
        <v>0</v>
      </c>
      <c r="I70" s="290">
        <v>0</v>
      </c>
      <c r="J70" s="291">
        <v>595839</v>
      </c>
      <c r="K70" s="292">
        <v>0.52910000000000001</v>
      </c>
      <c r="L70" s="291">
        <v>595839</v>
      </c>
      <c r="M70" s="292">
        <v>0.52910000000000001</v>
      </c>
      <c r="N70" s="292">
        <v>2.0000000000000001E-4</v>
      </c>
    </row>
    <row r="71" spans="1:14" ht="15.75" thickBot="1">
      <c r="A71" s="290" t="s">
        <v>5443</v>
      </c>
      <c r="B71" s="290">
        <v>67</v>
      </c>
      <c r="C71" s="291">
        <v>1144282</v>
      </c>
      <c r="D71" s="291">
        <v>17079</v>
      </c>
      <c r="E71" s="291">
        <v>17000</v>
      </c>
      <c r="F71" s="291">
        <v>1127895</v>
      </c>
      <c r="G71" s="291">
        <v>17247</v>
      </c>
      <c r="H71" s="290">
        <v>0</v>
      </c>
      <c r="I71" s="290">
        <v>0</v>
      </c>
      <c r="J71" s="291">
        <v>-16387</v>
      </c>
      <c r="K71" s="292">
        <v>-1.43E-2</v>
      </c>
      <c r="L71" s="291">
        <v>-16387</v>
      </c>
      <c r="M71" s="292">
        <v>-1.43E-2</v>
      </c>
      <c r="N71" s="292">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4583</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4580</v>
      </c>
      <c r="Z4" s="99">
        <v>1</v>
      </c>
      <c r="AA4" s="99">
        <v>1</v>
      </c>
      <c r="AB4" s="99">
        <f t="shared" si="0"/>
        <v>1</v>
      </c>
      <c r="AC4" s="99" t="s">
        <v>4582</v>
      </c>
      <c r="AD4" s="99"/>
      <c r="AE4" s="99"/>
      <c r="AF4" s="99"/>
      <c r="AG4" s="99"/>
      <c r="AH4" s="99"/>
    </row>
    <row r="5" spans="1:34">
      <c r="A5" s="99">
        <v>4</v>
      </c>
      <c r="B5" s="99"/>
      <c r="C5" s="169">
        <v>102</v>
      </c>
      <c r="D5" s="99">
        <v>20000</v>
      </c>
      <c r="E5" s="99">
        <f t="shared" si="1"/>
        <v>980000</v>
      </c>
      <c r="F5" s="169">
        <f t="shared" si="2"/>
        <v>-2030004</v>
      </c>
      <c r="G5" s="169">
        <f t="shared" si="3"/>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4556</v>
      </c>
      <c r="B43" s="113">
        <v>100000</v>
      </c>
      <c r="C43" s="99" t="s">
        <v>3887</v>
      </c>
      <c r="D43" s="99">
        <v>58</v>
      </c>
      <c r="E43" s="99">
        <f t="shared" si="5"/>
        <v>105</v>
      </c>
      <c r="F43" s="99">
        <f t="shared" si="0"/>
        <v>1</v>
      </c>
      <c r="G43" s="99">
        <f t="shared" si="2"/>
        <v>10400000</v>
      </c>
    </row>
    <row r="44" spans="1:14">
      <c r="A44" s="99" t="s">
        <v>4734</v>
      </c>
      <c r="B44" s="113">
        <v>-31000</v>
      </c>
      <c r="C44" s="99" t="s">
        <v>4743</v>
      </c>
      <c r="D44" s="99">
        <v>19</v>
      </c>
      <c r="E44" s="99">
        <f t="shared" ref="E44:E50" si="6">E45+D44</f>
        <v>47</v>
      </c>
      <c r="F44" s="99">
        <f t="shared" ref="F44:F50" si="7">IF(B44&gt;0,1,0)</f>
        <v>0</v>
      </c>
      <c r="G44" s="99">
        <f t="shared" ref="G44:G50" si="8">B44*(E44-F44)</f>
        <v>-1457000</v>
      </c>
    </row>
    <row r="45" spans="1:14">
      <c r="A45" s="99" t="s">
        <v>4810</v>
      </c>
      <c r="B45" s="113">
        <v>2060725</v>
      </c>
      <c r="C45" s="99" t="s">
        <v>4813</v>
      </c>
      <c r="D45" s="99">
        <v>6</v>
      </c>
      <c r="E45" s="99">
        <f t="shared" si="6"/>
        <v>28</v>
      </c>
      <c r="F45" s="99">
        <f t="shared" si="7"/>
        <v>1</v>
      </c>
      <c r="G45" s="99">
        <f t="shared" si="8"/>
        <v>55639575</v>
      </c>
    </row>
    <row r="46" spans="1:14">
      <c r="A46" s="99" t="s">
        <v>4834</v>
      </c>
      <c r="B46" s="113">
        <v>-1073169</v>
      </c>
      <c r="C46" s="99" t="s">
        <v>4835</v>
      </c>
      <c r="D46" s="99">
        <v>4</v>
      </c>
      <c r="E46" s="99">
        <f t="shared" si="6"/>
        <v>22</v>
      </c>
      <c r="F46" s="99">
        <f t="shared" si="7"/>
        <v>0</v>
      </c>
      <c r="G46" s="99">
        <f t="shared" si="8"/>
        <v>-23609718</v>
      </c>
    </row>
    <row r="47" spans="1:14">
      <c r="A47" s="99" t="s">
        <v>4826</v>
      </c>
      <c r="B47" s="113">
        <v>-178820</v>
      </c>
      <c r="C47" s="99" t="s">
        <v>4010</v>
      </c>
      <c r="D47" s="99">
        <v>0</v>
      </c>
      <c r="E47" s="99">
        <f t="shared" si="6"/>
        <v>18</v>
      </c>
      <c r="F47" s="99">
        <f t="shared" si="7"/>
        <v>0</v>
      </c>
      <c r="G47" s="99">
        <f t="shared" si="8"/>
        <v>-3218760</v>
      </c>
      <c r="L47" t="s">
        <v>25</v>
      </c>
    </row>
    <row r="48" spans="1:14">
      <c r="A48" s="99" t="s">
        <v>4826</v>
      </c>
      <c r="B48" s="113">
        <v>-25000</v>
      </c>
      <c r="C48" s="99" t="s">
        <v>749</v>
      </c>
      <c r="D48" s="99">
        <v>4</v>
      </c>
      <c r="E48" s="99">
        <f t="shared" si="6"/>
        <v>18</v>
      </c>
      <c r="F48" s="99">
        <f t="shared" si="7"/>
        <v>0</v>
      </c>
      <c r="G48" s="99">
        <f t="shared" si="8"/>
        <v>-450000</v>
      </c>
      <c r="L48" t="s">
        <v>25</v>
      </c>
    </row>
    <row r="49" spans="1:13">
      <c r="A49" s="99" t="s">
        <v>4839</v>
      </c>
      <c r="B49" s="113">
        <v>-49500</v>
      </c>
      <c r="C49" s="99" t="s">
        <v>452</v>
      </c>
      <c r="D49" s="99">
        <v>2</v>
      </c>
      <c r="E49" s="99">
        <f t="shared" si="6"/>
        <v>14</v>
      </c>
      <c r="F49" s="99">
        <f t="shared" si="7"/>
        <v>0</v>
      </c>
      <c r="G49" s="99">
        <f t="shared" si="8"/>
        <v>-693000</v>
      </c>
    </row>
    <row r="50" spans="1:13">
      <c r="A50" s="99" t="s">
        <v>4842</v>
      </c>
      <c r="B50" s="113">
        <v>-4500</v>
      </c>
      <c r="C50" s="99" t="s">
        <v>452</v>
      </c>
      <c r="D50" s="99">
        <v>1</v>
      </c>
      <c r="E50" s="99">
        <f t="shared" si="6"/>
        <v>12</v>
      </c>
      <c r="F50" s="99">
        <f t="shared" si="7"/>
        <v>0</v>
      </c>
      <c r="G50" s="99">
        <f t="shared" si="8"/>
        <v>-54000</v>
      </c>
    </row>
    <row r="51" spans="1:13">
      <c r="A51" s="99" t="s">
        <v>4843</v>
      </c>
      <c r="B51" s="113">
        <v>-328000</v>
      </c>
      <c r="C51" s="99" t="s">
        <v>452</v>
      </c>
      <c r="D51" s="99">
        <v>4</v>
      </c>
      <c r="E51" s="99">
        <f t="shared" ref="E51:E61" si="9">E52+D51</f>
        <v>11</v>
      </c>
      <c r="F51" s="99">
        <f t="shared" ref="F51:F61" si="10">IF(B51&gt;0,1,0)</f>
        <v>0</v>
      </c>
      <c r="G51" s="99">
        <f t="shared" ref="G51:G61" si="11">B51*(E51-F51)</f>
        <v>-3608000</v>
      </c>
    </row>
    <row r="52" spans="1:13">
      <c r="A52" s="99" t="s">
        <v>4847</v>
      </c>
      <c r="B52" s="113">
        <v>-195330</v>
      </c>
      <c r="C52" s="99" t="s">
        <v>4852</v>
      </c>
      <c r="D52" s="99">
        <v>1</v>
      </c>
      <c r="E52" s="99">
        <f t="shared" si="9"/>
        <v>7</v>
      </c>
      <c r="F52" s="99">
        <f t="shared" si="10"/>
        <v>0</v>
      </c>
      <c r="G52" s="99">
        <f t="shared" si="11"/>
        <v>-1367310</v>
      </c>
    </row>
    <row r="53" spans="1:13">
      <c r="A53" s="99" t="s">
        <v>4855</v>
      </c>
      <c r="B53" s="113">
        <v>-140730</v>
      </c>
      <c r="C53" s="99" t="s">
        <v>4858</v>
      </c>
      <c r="D53" s="99">
        <v>1</v>
      </c>
      <c r="E53" s="99">
        <f t="shared" si="9"/>
        <v>6</v>
      </c>
      <c r="F53" s="99">
        <f t="shared" si="10"/>
        <v>0</v>
      </c>
      <c r="G53" s="99">
        <f t="shared" si="11"/>
        <v>-844380</v>
      </c>
    </row>
    <row r="54" spans="1:13">
      <c r="A54" s="99" t="s">
        <v>4856</v>
      </c>
      <c r="B54" s="113">
        <v>-4200</v>
      </c>
      <c r="C54" s="99" t="s">
        <v>1067</v>
      </c>
      <c r="D54" s="99">
        <v>0</v>
      </c>
      <c r="E54" s="99">
        <f t="shared" si="9"/>
        <v>5</v>
      </c>
      <c r="F54" s="99">
        <f t="shared" si="10"/>
        <v>0</v>
      </c>
      <c r="G54" s="99">
        <f t="shared" si="11"/>
        <v>-21000</v>
      </c>
    </row>
    <row r="55" spans="1:13">
      <c r="A55" s="99" t="s">
        <v>4856</v>
      </c>
      <c r="B55" s="113">
        <v>-66567</v>
      </c>
      <c r="C55" s="99" t="s">
        <v>4010</v>
      </c>
      <c r="D55" s="99">
        <v>4</v>
      </c>
      <c r="E55" s="99">
        <f t="shared" si="9"/>
        <v>5</v>
      </c>
      <c r="F55" s="99">
        <f t="shared" si="10"/>
        <v>0</v>
      </c>
      <c r="G55" s="99">
        <f t="shared" si="11"/>
        <v>-332835</v>
      </c>
    </row>
    <row r="56" spans="1:13">
      <c r="A56" s="99" t="s">
        <v>4860</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H37" sqref="H3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99000</v>
      </c>
      <c r="H29" s="11" t="s">
        <v>569</v>
      </c>
      <c r="I29" s="11">
        <v>165000</v>
      </c>
      <c r="J29" s="11" t="s">
        <v>564</v>
      </c>
    </row>
    <row r="30" spans="2:21">
      <c r="G30" s="11">
        <f t="shared" si="5"/>
        <v>64000</v>
      </c>
      <c r="H30" s="11" t="s">
        <v>570</v>
      </c>
      <c r="I30" s="11">
        <v>200000</v>
      </c>
      <c r="J30" s="11" t="s">
        <v>565</v>
      </c>
    </row>
    <row r="31" spans="2:21">
      <c r="G31" s="11">
        <f t="shared" si="5"/>
        <v>7000</v>
      </c>
      <c r="H31" s="11" t="s">
        <v>5223</v>
      </c>
      <c r="I31" s="11">
        <v>257000</v>
      </c>
      <c r="J31" s="11" t="s">
        <v>477</v>
      </c>
    </row>
    <row r="32" spans="2:21">
      <c r="G32" s="11">
        <f>$I$48-I32</f>
        <v>79000</v>
      </c>
      <c r="H32" s="59" t="s">
        <v>792</v>
      </c>
      <c r="I32" s="11">
        <v>185000</v>
      </c>
      <c r="J32" s="11" t="s">
        <v>558</v>
      </c>
    </row>
    <row r="33" spans="6:23">
      <c r="G33" s="11">
        <f t="shared" si="5"/>
        <v>33000</v>
      </c>
      <c r="H33" s="11" t="s">
        <v>5223</v>
      </c>
      <c r="I33" s="11">
        <v>231000</v>
      </c>
      <c r="J33" s="11" t="s">
        <v>566</v>
      </c>
    </row>
    <row r="34" spans="6:23">
      <c r="G34" s="11">
        <f t="shared" si="5"/>
        <v>7000</v>
      </c>
      <c r="H34" s="11" t="s">
        <v>5223</v>
      </c>
      <c r="I34" s="11">
        <v>257000</v>
      </c>
      <c r="J34" s="11" t="s">
        <v>567</v>
      </c>
    </row>
    <row r="35" spans="6:23">
      <c r="G35" s="11">
        <f t="shared" si="5"/>
        <v>7000</v>
      </c>
      <c r="H35" s="11" t="s">
        <v>5223</v>
      </c>
      <c r="I35" s="11">
        <v>257000</v>
      </c>
      <c r="J35" s="11" t="s">
        <v>568</v>
      </c>
    </row>
    <row r="36" spans="6:23">
      <c r="F36" t="s">
        <v>25</v>
      </c>
      <c r="G36" s="11">
        <f t="shared" si="5"/>
        <v>0</v>
      </c>
      <c r="H36" s="11" t="s">
        <v>5498</v>
      </c>
      <c r="I36" s="11">
        <v>264000</v>
      </c>
      <c r="J36" s="11" t="s">
        <v>641</v>
      </c>
      <c r="O36" s="22"/>
    </row>
    <row r="37" spans="6:23">
      <c r="G37" s="11">
        <f t="shared" si="5"/>
        <v>6000</v>
      </c>
      <c r="H37" s="11" t="s">
        <v>5267</v>
      </c>
      <c r="I37" s="11">
        <v>258000</v>
      </c>
      <c r="J37" s="11" t="s">
        <v>650</v>
      </c>
    </row>
    <row r="38" spans="6:23">
      <c r="G38" s="11">
        <f t="shared" si="5"/>
        <v>39500</v>
      </c>
      <c r="H38" s="11" t="s">
        <v>708</v>
      </c>
      <c r="I38" s="11">
        <v>224500</v>
      </c>
      <c r="J38" s="11" t="s">
        <v>707</v>
      </c>
      <c r="M38" s="25"/>
      <c r="N38" s="25"/>
      <c r="O38" s="25"/>
      <c r="P38" s="25"/>
      <c r="Q38" s="25"/>
      <c r="R38" s="25"/>
      <c r="S38" s="25"/>
      <c r="T38" s="25"/>
      <c r="U38" s="25"/>
      <c r="V38" s="25"/>
      <c r="W38" s="25"/>
    </row>
    <row r="39" spans="6:23">
      <c r="G39" s="11">
        <f t="shared" si="5"/>
        <v>74000</v>
      </c>
      <c r="H39" s="11" t="s">
        <v>742</v>
      </c>
      <c r="I39" s="11">
        <v>190000</v>
      </c>
      <c r="J39" s="11" t="s">
        <v>741</v>
      </c>
      <c r="M39" s="25"/>
      <c r="N39" s="25"/>
      <c r="O39" s="25"/>
      <c r="P39" s="25"/>
      <c r="Q39" s="25"/>
      <c r="R39" s="25"/>
      <c r="S39" s="25"/>
      <c r="T39" s="25"/>
      <c r="U39" s="25"/>
      <c r="V39" s="25"/>
      <c r="W39" s="25"/>
    </row>
    <row r="40" spans="6:23">
      <c r="G40" s="11">
        <f t="shared" si="5"/>
        <v>39000</v>
      </c>
      <c r="H40" s="11" t="s">
        <v>740</v>
      </c>
      <c r="I40" s="11">
        <v>225000</v>
      </c>
      <c r="J40" s="11" t="s">
        <v>739</v>
      </c>
      <c r="M40" s="25"/>
      <c r="N40" s="25"/>
      <c r="O40" s="25"/>
      <c r="P40" s="25"/>
      <c r="Q40" s="25"/>
      <c r="R40" s="25"/>
      <c r="S40" s="25"/>
      <c r="T40" s="25"/>
      <c r="U40" s="25"/>
      <c r="V40" s="25"/>
      <c r="W40" s="25"/>
    </row>
    <row r="41" spans="6:23">
      <c r="G41" s="11">
        <f t="shared" si="5"/>
        <v>33000</v>
      </c>
      <c r="H41" s="11" t="s">
        <v>1099</v>
      </c>
      <c r="I41" s="11">
        <v>231000</v>
      </c>
      <c r="J41" s="11" t="s">
        <v>779</v>
      </c>
      <c r="M41" s="25"/>
      <c r="N41" s="25"/>
      <c r="O41" s="71"/>
      <c r="P41" s="25"/>
      <c r="Q41" s="71"/>
      <c r="R41" s="71"/>
      <c r="S41" s="28"/>
      <c r="T41" s="28"/>
      <c r="U41" s="28"/>
      <c r="V41" s="28"/>
      <c r="W41" s="28"/>
    </row>
    <row r="42" spans="6:23">
      <c r="G42" s="11">
        <f t="shared" ref="G42:G47" si="6">$I$48-I42</f>
        <v>48000</v>
      </c>
      <c r="H42" s="11" t="s">
        <v>780</v>
      </c>
      <c r="I42" s="11">
        <v>216000</v>
      </c>
      <c r="J42" s="11" t="s">
        <v>781</v>
      </c>
      <c r="M42" s="25"/>
      <c r="N42" s="25"/>
      <c r="O42" s="71"/>
      <c r="P42" s="25"/>
      <c r="Q42" s="71"/>
      <c r="R42" s="71"/>
      <c r="S42" s="28"/>
      <c r="T42" s="28"/>
      <c r="U42" s="25"/>
      <c r="V42" s="28"/>
      <c r="W42" s="28"/>
    </row>
    <row r="43" spans="6:23">
      <c r="G43" s="11">
        <f t="shared" si="6"/>
        <v>37000</v>
      </c>
      <c r="H43" s="11" t="s">
        <v>809</v>
      </c>
      <c r="I43" s="11">
        <v>227000</v>
      </c>
      <c r="J43" s="11" t="s">
        <v>810</v>
      </c>
      <c r="M43" s="25"/>
      <c r="N43" s="25"/>
      <c r="O43" s="25"/>
      <c r="P43" s="25"/>
      <c r="Q43" s="28"/>
      <c r="R43" s="25"/>
      <c r="S43" s="28"/>
      <c r="T43" s="25"/>
      <c r="U43" s="25"/>
      <c r="V43" s="25"/>
      <c r="W43" s="25"/>
    </row>
    <row r="44" spans="6:23">
      <c r="G44" s="11">
        <f t="shared" si="6"/>
        <v>35000</v>
      </c>
      <c r="H44" s="11" t="s">
        <v>872</v>
      </c>
      <c r="I44" s="11">
        <v>229000</v>
      </c>
      <c r="J44" s="11" t="s">
        <v>480</v>
      </c>
      <c r="M44" s="25"/>
      <c r="N44" s="25"/>
      <c r="O44" s="25"/>
      <c r="P44" s="25"/>
      <c r="Q44" s="25"/>
      <c r="R44" s="25"/>
      <c r="S44" s="25"/>
      <c r="T44" s="25"/>
      <c r="U44" s="25"/>
      <c r="V44" s="25"/>
      <c r="W44" s="25"/>
    </row>
    <row r="45" spans="6:23">
      <c r="G45" s="11">
        <f t="shared" si="6"/>
        <v>33000</v>
      </c>
      <c r="H45" s="11" t="s">
        <v>1099</v>
      </c>
      <c r="I45" s="11">
        <v>231000</v>
      </c>
      <c r="J45" s="11" t="s">
        <v>1098</v>
      </c>
      <c r="M45" s="25"/>
      <c r="N45" s="25"/>
      <c r="O45" s="25"/>
      <c r="P45" s="25"/>
      <c r="Q45" s="25"/>
      <c r="R45" s="25"/>
      <c r="S45" s="28"/>
      <c r="T45" s="25"/>
      <c r="U45" s="25"/>
      <c r="V45" s="25"/>
      <c r="W45" s="25"/>
    </row>
    <row r="46" spans="6:23">
      <c r="G46" s="11">
        <f t="shared" si="6"/>
        <v>15800</v>
      </c>
      <c r="H46" s="11" t="s">
        <v>4782</v>
      </c>
      <c r="I46" s="11">
        <v>248200</v>
      </c>
      <c r="J46" s="11" t="s">
        <v>4791</v>
      </c>
      <c r="M46" s="25"/>
      <c r="N46" s="25"/>
      <c r="O46" s="25"/>
      <c r="P46" s="25"/>
      <c r="Q46" s="25"/>
      <c r="R46" s="25"/>
      <c r="S46" s="25"/>
      <c r="T46" s="25"/>
      <c r="U46" s="25"/>
      <c r="V46" s="25"/>
      <c r="W46" s="25"/>
    </row>
    <row r="47" spans="6:23">
      <c r="G47" s="99">
        <f t="shared" si="6"/>
        <v>7000</v>
      </c>
      <c r="H47" s="99" t="s">
        <v>5223</v>
      </c>
      <c r="I47" s="99">
        <v>257000</v>
      </c>
      <c r="J47" s="99" t="s">
        <v>5257</v>
      </c>
      <c r="M47" s="25"/>
      <c r="N47" s="25"/>
      <c r="O47" s="25"/>
      <c r="P47" s="25"/>
      <c r="Q47" s="25"/>
      <c r="R47" s="25"/>
      <c r="S47" s="25"/>
      <c r="T47" s="25"/>
      <c r="U47" s="25"/>
      <c r="V47" s="25"/>
      <c r="W47" s="25"/>
    </row>
    <row r="48" spans="6:23">
      <c r="G48" s="11"/>
      <c r="H48" s="11"/>
      <c r="I48" s="11">
        <v>264000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E51" zoomScale="80" zoomScaleNormal="80" workbookViewId="0">
      <selection activeCell="Q73" sqref="Q73"/>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4896</v>
      </c>
      <c r="B1" s="213" t="s">
        <v>4897</v>
      </c>
      <c r="C1" s="189" t="s">
        <v>5130</v>
      </c>
      <c r="D1" s="189" t="s">
        <v>5101</v>
      </c>
      <c r="E1" s="213" t="s">
        <v>5099</v>
      </c>
      <c r="F1" s="213" t="s">
        <v>5100</v>
      </c>
      <c r="G1" s="213" t="s">
        <v>4907</v>
      </c>
      <c r="H1" s="213" t="s">
        <v>4906</v>
      </c>
      <c r="I1" s="213" t="s">
        <v>4263</v>
      </c>
      <c r="J1" s="56" t="s">
        <v>5010</v>
      </c>
      <c r="M1" t="s">
        <v>4899</v>
      </c>
      <c r="N1" t="s">
        <v>4903</v>
      </c>
      <c r="O1" t="s">
        <v>4904</v>
      </c>
    </row>
    <row r="2" spans="1:20">
      <c r="A2" s="197" t="s">
        <v>4898</v>
      </c>
      <c r="B2" s="197">
        <v>1120643604</v>
      </c>
      <c r="C2" s="189">
        <v>1400</v>
      </c>
      <c r="D2" s="189">
        <f>B2*C2/$M$2</f>
        <v>21.790292300000001</v>
      </c>
      <c r="E2" s="197">
        <v>930</v>
      </c>
      <c r="F2" s="197">
        <f>B2*E2/$M$2</f>
        <v>14.474979885</v>
      </c>
      <c r="G2" s="197"/>
      <c r="H2" s="197"/>
      <c r="I2" s="197">
        <v>8300</v>
      </c>
      <c r="J2" s="197">
        <f>B2*I2/$M$2</f>
        <v>129.18530435</v>
      </c>
      <c r="M2">
        <v>72000000000</v>
      </c>
      <c r="N2">
        <v>27308458109</v>
      </c>
      <c r="O2">
        <v>40500000000</v>
      </c>
    </row>
    <row r="3" spans="1:20">
      <c r="A3" s="191" t="s">
        <v>4900</v>
      </c>
      <c r="B3" s="191">
        <v>2605736250</v>
      </c>
      <c r="C3" s="189">
        <v>150</v>
      </c>
      <c r="D3" s="189">
        <f t="shared" ref="D3:D5" si="0">B3*C3/$M$2</f>
        <v>5.4286171875000004</v>
      </c>
      <c r="E3" s="191">
        <v>80</v>
      </c>
      <c r="F3" s="191">
        <f>B3*E3/$M$2</f>
        <v>2.8952624999999999</v>
      </c>
      <c r="G3" s="191"/>
      <c r="H3" s="191"/>
      <c r="I3" s="191">
        <v>3200</v>
      </c>
      <c r="J3" s="191">
        <f>B3*I3/$M$2</f>
        <v>115.8105</v>
      </c>
      <c r="N3">
        <f>N2/O2</f>
        <v>0.67428291627160497</v>
      </c>
    </row>
    <row r="4" spans="1:20">
      <c r="A4" s="191" t="s">
        <v>4901</v>
      </c>
      <c r="B4" s="191">
        <v>560000000</v>
      </c>
      <c r="C4" s="189">
        <v>30</v>
      </c>
      <c r="D4" s="189">
        <f t="shared" si="0"/>
        <v>0.23333333333333334</v>
      </c>
      <c r="E4" s="191">
        <v>25</v>
      </c>
      <c r="F4" s="191">
        <f>B4*E4/$M$2</f>
        <v>0.19444444444444445</v>
      </c>
      <c r="G4" s="191"/>
      <c r="H4" s="191"/>
      <c r="I4" s="191">
        <v>524</v>
      </c>
      <c r="J4" s="191">
        <f>B4*I4/$M$2</f>
        <v>4.0755555555555558</v>
      </c>
    </row>
    <row r="5" spans="1:20">
      <c r="A5" s="191" t="s">
        <v>4902</v>
      </c>
      <c r="B5" s="191">
        <v>30161250</v>
      </c>
      <c r="C5" s="189">
        <v>300</v>
      </c>
      <c r="D5" s="189">
        <f t="shared" si="0"/>
        <v>0.12567187499999999</v>
      </c>
      <c r="E5" s="191">
        <v>170</v>
      </c>
      <c r="F5" s="191">
        <f>B5*E5/$M$2</f>
        <v>7.1214062499999994E-2</v>
      </c>
      <c r="G5" s="191"/>
      <c r="H5" s="191"/>
      <c r="I5" s="191">
        <v>1165</v>
      </c>
      <c r="J5" s="191">
        <f>B5*I5/$M$2</f>
        <v>0.48802578125000001</v>
      </c>
    </row>
    <row r="6" spans="1:20">
      <c r="A6" s="5"/>
      <c r="B6" s="5"/>
      <c r="C6" s="5"/>
      <c r="D6" s="5"/>
      <c r="E6" s="5"/>
      <c r="F6" s="5">
        <f>B6*E6/$M$2</f>
        <v>0</v>
      </c>
      <c r="G6" s="5"/>
      <c r="H6" s="5"/>
      <c r="I6" s="5"/>
      <c r="J6" s="213"/>
    </row>
    <row r="7" spans="1:20">
      <c r="A7" s="197" t="s">
        <v>4898</v>
      </c>
      <c r="B7" s="197">
        <v>1124709340</v>
      </c>
      <c r="C7" s="189">
        <f>C2</f>
        <v>1400</v>
      </c>
      <c r="D7" s="189">
        <f>B7*C7*$N$3/$M$2</f>
        <v>14.746127933699402</v>
      </c>
      <c r="E7" s="197">
        <f>E2</f>
        <v>930</v>
      </c>
      <c r="F7" s="197">
        <f t="shared" ref="F7:F19" si="1">B7*E7*$N$3/$M$2</f>
        <v>9.7956421273860297</v>
      </c>
      <c r="G7" s="197">
        <v>0</v>
      </c>
      <c r="H7" s="197">
        <f t="shared" ref="H7:H19" si="2">B7*G7*$N$3/$M$2</f>
        <v>0</v>
      </c>
      <c r="I7" s="197">
        <f>I2</f>
        <v>8300</v>
      </c>
      <c r="J7" s="197">
        <f t="shared" ref="J7:J15" si="3">B7*I7*$N$3/$M$2</f>
        <v>87.423472749789312</v>
      </c>
    </row>
    <row r="8" spans="1:20">
      <c r="A8" s="191" t="s">
        <v>4905</v>
      </c>
      <c r="B8" s="191">
        <v>555409765</v>
      </c>
      <c r="C8" s="189">
        <v>300</v>
      </c>
      <c r="D8" s="189">
        <f t="shared" ref="D8:D15" si="4">B8*C8*$N$3/$M$2</f>
        <v>1.5604304836246949</v>
      </c>
      <c r="E8" s="191">
        <v>250</v>
      </c>
      <c r="F8" s="191">
        <f t="shared" si="1"/>
        <v>1.3003587363539126</v>
      </c>
      <c r="G8" s="191">
        <v>300</v>
      </c>
      <c r="H8" s="191">
        <f t="shared" si="2"/>
        <v>1.5604304836246949</v>
      </c>
      <c r="I8" s="191">
        <v>5880</v>
      </c>
      <c r="J8" s="191">
        <f t="shared" si="3"/>
        <v>30.58443747904402</v>
      </c>
    </row>
    <row r="9" spans="1:20">
      <c r="A9" s="191" t="s">
        <v>4902</v>
      </c>
      <c r="B9" s="191">
        <v>4203087537</v>
      </c>
      <c r="C9" s="189">
        <v>300</v>
      </c>
      <c r="D9" s="189">
        <f t="shared" si="4"/>
        <v>11.808625507471655</v>
      </c>
      <c r="E9" s="191">
        <v>170</v>
      </c>
      <c r="F9" s="191">
        <f t="shared" si="1"/>
        <v>6.6915544542339385</v>
      </c>
      <c r="G9" s="191"/>
      <c r="H9" s="191">
        <f t="shared" si="2"/>
        <v>0</v>
      </c>
      <c r="I9" s="191">
        <f>I5</f>
        <v>1165</v>
      </c>
      <c r="J9" s="191">
        <f t="shared" si="3"/>
        <v>45.856829054014923</v>
      </c>
      <c r="L9" t="s">
        <v>25</v>
      </c>
    </row>
    <row r="10" spans="1:20">
      <c r="A10" s="213" t="s">
        <v>4908</v>
      </c>
      <c r="B10" s="213">
        <v>4123527587</v>
      </c>
      <c r="C10" s="189">
        <v>500</v>
      </c>
      <c r="D10" s="189">
        <f t="shared" si="4"/>
        <v>19.308501435338712</v>
      </c>
      <c r="E10" s="213">
        <v>208</v>
      </c>
      <c r="F10" s="213">
        <f t="shared" si="1"/>
        <v>8.0323365971009029</v>
      </c>
      <c r="G10" s="213"/>
      <c r="H10" s="213">
        <f t="shared" si="2"/>
        <v>0</v>
      </c>
      <c r="I10" s="213">
        <v>3120</v>
      </c>
      <c r="J10" s="213">
        <f t="shared" si="3"/>
        <v>120.48504895651355</v>
      </c>
    </row>
    <row r="11" spans="1:20">
      <c r="A11" s="198" t="s">
        <v>4909</v>
      </c>
      <c r="B11" s="198">
        <v>2635379034</v>
      </c>
      <c r="C11" s="189">
        <v>300</v>
      </c>
      <c r="D11" s="189">
        <f t="shared" si="4"/>
        <v>7.4041294188606885</v>
      </c>
      <c r="E11" s="198">
        <v>0</v>
      </c>
      <c r="F11" s="198">
        <f t="shared" si="1"/>
        <v>0</v>
      </c>
      <c r="G11" s="198"/>
      <c r="H11" s="198">
        <f t="shared" si="2"/>
        <v>0</v>
      </c>
      <c r="I11" s="198">
        <v>2090</v>
      </c>
      <c r="J11" s="198">
        <f t="shared" si="3"/>
        <v>51.582101618062801</v>
      </c>
    </row>
    <row r="12" spans="1:20">
      <c r="A12" s="191" t="s">
        <v>4910</v>
      </c>
      <c r="B12" s="191">
        <v>1886721602</v>
      </c>
      <c r="C12" s="189">
        <v>300</v>
      </c>
      <c r="D12" s="189">
        <f t="shared" si="4"/>
        <v>5.3007672666216434</v>
      </c>
      <c r="E12" s="191">
        <v>240</v>
      </c>
      <c r="F12" s="191">
        <f t="shared" si="1"/>
        <v>4.2406138132973146</v>
      </c>
      <c r="G12" s="191"/>
      <c r="H12" s="191">
        <f t="shared" si="2"/>
        <v>0</v>
      </c>
      <c r="I12" s="191">
        <v>4500</v>
      </c>
      <c r="J12" s="191">
        <f t="shared" si="3"/>
        <v>79.511508999324647</v>
      </c>
      <c r="O12" t="s">
        <v>4993</v>
      </c>
    </row>
    <row r="13" spans="1:20">
      <c r="A13" s="191" t="s">
        <v>4911</v>
      </c>
      <c r="B13" s="191">
        <v>1630533748</v>
      </c>
      <c r="C13" s="189">
        <v>70</v>
      </c>
      <c r="D13" s="189">
        <f t="shared" si="4"/>
        <v>1.0689010214951349</v>
      </c>
      <c r="E13" s="191">
        <v>60</v>
      </c>
      <c r="F13" s="191">
        <f t="shared" si="1"/>
        <v>0.91620087556725849</v>
      </c>
      <c r="G13" s="191"/>
      <c r="H13" s="191">
        <f t="shared" si="2"/>
        <v>0</v>
      </c>
      <c r="I13" s="191">
        <v>1550</v>
      </c>
      <c r="J13" s="191">
        <f t="shared" si="3"/>
        <v>23.668522618820845</v>
      </c>
      <c r="O13" s="99" t="s">
        <v>180</v>
      </c>
      <c r="P13" s="99" t="s">
        <v>267</v>
      </c>
      <c r="Q13" s="99" t="s">
        <v>4991</v>
      </c>
      <c r="R13" s="99"/>
      <c r="S13" s="96"/>
      <c r="T13" s="96"/>
    </row>
    <row r="14" spans="1:20">
      <c r="A14" s="191" t="s">
        <v>4383</v>
      </c>
      <c r="B14" s="191">
        <v>813533684</v>
      </c>
      <c r="C14" s="189">
        <v>2000</v>
      </c>
      <c r="D14" s="189">
        <f t="shared" si="4"/>
        <v>15.237551803686175</v>
      </c>
      <c r="E14" s="191">
        <v>1460</v>
      </c>
      <c r="F14" s="191">
        <f t="shared" si="1"/>
        <v>11.123412816690907</v>
      </c>
      <c r="G14" s="191"/>
      <c r="H14" s="191">
        <f t="shared" si="2"/>
        <v>0</v>
      </c>
      <c r="I14" s="191">
        <v>8333</v>
      </c>
      <c r="J14" s="191">
        <f>B14*I14*$N$3/$M$2</f>
        <v>63.487259590058457</v>
      </c>
      <c r="O14" s="99" t="s">
        <v>4983</v>
      </c>
      <c r="P14" s="18">
        <v>7500000</v>
      </c>
      <c r="Q14" s="99">
        <v>4</v>
      </c>
      <c r="R14" s="99"/>
      <c r="S14" s="96"/>
      <c r="T14" s="96"/>
    </row>
    <row r="15" spans="1:20">
      <c r="A15" s="191" t="s">
        <v>4912</v>
      </c>
      <c r="B15" s="191">
        <v>236958025</v>
      </c>
      <c r="C15" s="189">
        <v>300</v>
      </c>
      <c r="D15" s="189">
        <f t="shared" si="4"/>
        <v>0.66573645054566621</v>
      </c>
      <c r="E15" s="191">
        <v>270</v>
      </c>
      <c r="F15" s="191">
        <f t="shared" si="1"/>
        <v>0.59916280549109957</v>
      </c>
      <c r="G15" s="191"/>
      <c r="H15" s="191">
        <f t="shared" si="2"/>
        <v>0</v>
      </c>
      <c r="I15" s="191">
        <v>3333</v>
      </c>
      <c r="J15" s="191">
        <f t="shared" si="3"/>
        <v>7.396331965562351</v>
      </c>
      <c r="O15" s="99" t="s">
        <v>4990</v>
      </c>
      <c r="P15" s="18">
        <v>-500000</v>
      </c>
      <c r="Q15" s="99">
        <v>7</v>
      </c>
      <c r="R15" s="99"/>
      <c r="S15" s="96"/>
      <c r="T15" s="96"/>
    </row>
    <row r="16" spans="1:20">
      <c r="A16" s="213"/>
      <c r="B16" s="213"/>
      <c r="C16" s="213"/>
      <c r="D16" s="213"/>
      <c r="E16" s="213"/>
      <c r="F16" s="213">
        <f t="shared" si="1"/>
        <v>0</v>
      </c>
      <c r="G16" s="213"/>
      <c r="H16" s="213">
        <f t="shared" si="2"/>
        <v>0</v>
      </c>
      <c r="I16" s="213"/>
      <c r="J16" s="213"/>
      <c r="O16" s="99" t="s">
        <v>5000</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5005</v>
      </c>
      <c r="P17" s="18">
        <v>2000000</v>
      </c>
      <c r="Q17" s="99">
        <v>6</v>
      </c>
      <c r="R17" s="99"/>
      <c r="S17" s="96"/>
      <c r="T17" s="96"/>
    </row>
    <row r="18" spans="1:22">
      <c r="A18" s="213"/>
      <c r="B18" s="213"/>
      <c r="C18" s="213"/>
      <c r="D18" s="213"/>
      <c r="E18" s="213"/>
      <c r="F18" s="213">
        <f t="shared" si="1"/>
        <v>0</v>
      </c>
      <c r="G18" s="213"/>
      <c r="H18" s="213">
        <f t="shared" si="2"/>
        <v>0</v>
      </c>
      <c r="I18" s="213"/>
      <c r="J18" s="213"/>
      <c r="O18" s="99" t="s">
        <v>5022</v>
      </c>
      <c r="P18" s="18">
        <v>1000000</v>
      </c>
      <c r="Q18" s="99">
        <v>3</v>
      </c>
      <c r="R18" s="99"/>
      <c r="S18" s="96"/>
      <c r="T18" s="96"/>
    </row>
    <row r="19" spans="1:22">
      <c r="A19" s="213"/>
      <c r="B19" s="213"/>
      <c r="C19" s="213"/>
      <c r="D19" s="213"/>
      <c r="E19" s="213"/>
      <c r="F19" s="213">
        <f t="shared" si="1"/>
        <v>0</v>
      </c>
      <c r="G19" s="213"/>
      <c r="H19" s="213">
        <f t="shared" si="2"/>
        <v>0</v>
      </c>
      <c r="I19" s="213"/>
      <c r="J19" s="213"/>
      <c r="O19" s="99" t="s">
        <v>5036</v>
      </c>
      <c r="P19" s="18">
        <v>200000</v>
      </c>
      <c r="Q19" s="99">
        <v>3</v>
      </c>
      <c r="R19" s="99"/>
      <c r="S19" s="96"/>
      <c r="T19" s="96"/>
    </row>
    <row r="20" spans="1:22">
      <c r="A20" s="213"/>
      <c r="B20" s="213"/>
      <c r="C20" s="213"/>
      <c r="D20" s="213"/>
      <c r="E20" s="213"/>
      <c r="F20" s="213"/>
      <c r="G20" s="213"/>
      <c r="H20" s="213"/>
      <c r="I20" s="213"/>
      <c r="J20" s="213"/>
      <c r="L20" t="s">
        <v>25</v>
      </c>
      <c r="O20" s="99" t="s">
        <v>5039</v>
      </c>
      <c r="P20" s="18">
        <v>-3200000</v>
      </c>
      <c r="Q20" s="99">
        <v>6</v>
      </c>
      <c r="R20" s="99"/>
      <c r="S20" s="96"/>
      <c r="T20" s="96"/>
    </row>
    <row r="21" spans="1:22">
      <c r="A21" s="213"/>
      <c r="B21" s="213"/>
      <c r="C21" s="213"/>
      <c r="D21" s="213">
        <f>SUM(D2:D15)</f>
        <v>104.67868601717711</v>
      </c>
      <c r="E21" s="213"/>
      <c r="F21" s="213">
        <f>SUM(F2:F15)</f>
        <v>60.335183118065807</v>
      </c>
      <c r="G21" s="213"/>
      <c r="H21" s="213"/>
      <c r="I21" s="213"/>
      <c r="J21" s="213">
        <f>SUM(J2:J19)</f>
        <v>759.55489871799637</v>
      </c>
      <c r="K21">
        <f>J21*0.8</f>
        <v>607.64391897439714</v>
      </c>
      <c r="O21" s="99" t="s">
        <v>5053</v>
      </c>
      <c r="P21" s="18">
        <v>6000000</v>
      </c>
      <c r="Q21" s="99">
        <v>1</v>
      </c>
      <c r="R21" s="99"/>
      <c r="S21" s="96"/>
      <c r="T21" s="96"/>
    </row>
    <row r="22" spans="1:22">
      <c r="A22" s="213"/>
      <c r="B22" s="213"/>
      <c r="C22" s="213"/>
      <c r="D22" s="213" t="s">
        <v>6</v>
      </c>
      <c r="E22" s="213"/>
      <c r="F22" s="213" t="s">
        <v>6</v>
      </c>
      <c r="G22" s="213"/>
      <c r="H22" s="213"/>
      <c r="I22" s="213"/>
      <c r="J22" s="213" t="s">
        <v>4471</v>
      </c>
      <c r="O22" s="99" t="s">
        <v>5054</v>
      </c>
      <c r="P22" s="18">
        <v>2000000</v>
      </c>
      <c r="Q22" s="99">
        <v>3</v>
      </c>
      <c r="R22" s="99"/>
      <c r="S22" s="96"/>
      <c r="T22" s="96"/>
    </row>
    <row r="23" spans="1:22">
      <c r="A23" s="213"/>
      <c r="B23" s="213"/>
      <c r="C23" s="213"/>
      <c r="D23" s="213"/>
      <c r="E23" s="213"/>
      <c r="F23" s="213"/>
      <c r="G23" s="213"/>
      <c r="H23" s="213">
        <v>535</v>
      </c>
      <c r="I23" s="213">
        <f>H23/J21</f>
        <v>0.70435988353572854</v>
      </c>
      <c r="J23" s="213"/>
      <c r="O23" s="99" t="s">
        <v>5061</v>
      </c>
      <c r="P23" s="18">
        <v>-50000</v>
      </c>
      <c r="Q23" s="99">
        <v>7</v>
      </c>
      <c r="R23" s="99"/>
      <c r="S23" s="96"/>
      <c r="T23" s="96"/>
    </row>
    <row r="24" spans="1:22">
      <c r="A24" s="213"/>
      <c r="B24" s="213"/>
      <c r="C24" s="213"/>
      <c r="D24" s="213"/>
      <c r="E24" s="213"/>
      <c r="F24" s="213"/>
      <c r="G24" s="213"/>
      <c r="H24" s="213" t="s">
        <v>5128</v>
      </c>
      <c r="I24" s="213" t="s">
        <v>5129</v>
      </c>
      <c r="J24" s="213"/>
      <c r="O24" s="99" t="s">
        <v>5067</v>
      </c>
      <c r="P24" s="18">
        <v>-2480000</v>
      </c>
      <c r="Q24" s="99">
        <v>5</v>
      </c>
      <c r="R24" s="99"/>
      <c r="S24" s="96"/>
      <c r="T24" s="96"/>
      <c r="V24" t="s">
        <v>25</v>
      </c>
    </row>
    <row r="25" spans="1:22">
      <c r="O25" s="99" t="s">
        <v>5075</v>
      </c>
      <c r="P25" s="18">
        <v>300000</v>
      </c>
      <c r="Q25" s="99">
        <v>1</v>
      </c>
      <c r="R25" s="99"/>
      <c r="S25" s="96"/>
      <c r="T25" s="96"/>
    </row>
    <row r="26" spans="1:22">
      <c r="O26" s="99" t="s">
        <v>4227</v>
      </c>
      <c r="P26" s="18">
        <v>300000</v>
      </c>
      <c r="Q26" s="99">
        <v>6</v>
      </c>
      <c r="R26" s="99"/>
      <c r="S26" s="96"/>
      <c r="T26" s="96"/>
    </row>
    <row r="27" spans="1:22">
      <c r="O27" s="99" t="s">
        <v>5085</v>
      </c>
      <c r="P27" s="18">
        <v>500000</v>
      </c>
      <c r="Q27" s="99">
        <v>2</v>
      </c>
      <c r="R27" s="99"/>
      <c r="S27" s="96"/>
      <c r="T27" s="96"/>
    </row>
    <row r="28" spans="1:22">
      <c r="C28" s="96" t="s">
        <v>5198</v>
      </c>
      <c r="D28" s="96" t="s">
        <v>5204</v>
      </c>
      <c r="E28" t="s">
        <v>5205</v>
      </c>
      <c r="F28" t="s">
        <v>5207</v>
      </c>
      <c r="G28" t="s">
        <v>5208</v>
      </c>
      <c r="O28" s="99" t="s">
        <v>5091</v>
      </c>
      <c r="P28" s="18">
        <v>100000</v>
      </c>
      <c r="Q28" s="99">
        <v>1</v>
      </c>
      <c r="R28" s="99"/>
      <c r="S28" s="96"/>
      <c r="T28" s="96"/>
    </row>
    <row r="29" spans="1:22">
      <c r="C29" s="96" t="s">
        <v>5203</v>
      </c>
      <c r="D29" s="96">
        <v>1306</v>
      </c>
      <c r="E29">
        <v>0.53500000000000003</v>
      </c>
      <c r="F29">
        <f>D29*E29*$D$40</f>
        <v>698710000</v>
      </c>
      <c r="G29">
        <f>F29*11400/1000000000</f>
        <v>7965.2939999999999</v>
      </c>
      <c r="J29" t="s">
        <v>25</v>
      </c>
      <c r="O29" s="99" t="s">
        <v>5092</v>
      </c>
      <c r="P29" s="18">
        <v>-6423626</v>
      </c>
      <c r="Q29" s="99">
        <v>1</v>
      </c>
      <c r="R29" s="99"/>
      <c r="S29" s="96"/>
      <c r="T29" s="96"/>
    </row>
    <row r="30" spans="1:22">
      <c r="B30" s="96"/>
      <c r="C30" s="96" t="s">
        <v>5209</v>
      </c>
      <c r="D30" s="96">
        <v>10</v>
      </c>
      <c r="E30" s="96">
        <v>0.5</v>
      </c>
      <c r="F30" s="96">
        <f t="shared" ref="F30:F31" si="5">D30*E30*$D$40</f>
        <v>5000000</v>
      </c>
      <c r="G30" s="96">
        <f t="shared" ref="G30:G35" si="6">F30*11400/1000000000</f>
        <v>57</v>
      </c>
      <c r="O30" s="99" t="s">
        <v>5095</v>
      </c>
      <c r="P30" s="18">
        <v>-4592486</v>
      </c>
      <c r="Q30" s="99">
        <v>0</v>
      </c>
      <c r="R30" s="99"/>
      <c r="S30" s="96"/>
      <c r="T30" s="96"/>
      <c r="V30" t="s">
        <v>25</v>
      </c>
    </row>
    <row r="31" spans="1:22">
      <c r="B31" s="96"/>
      <c r="C31" s="96" t="s">
        <v>5210</v>
      </c>
      <c r="D31" s="96">
        <v>492</v>
      </c>
      <c r="E31" s="96">
        <v>0.65</v>
      </c>
      <c r="F31" s="96">
        <f t="shared" si="5"/>
        <v>319800000</v>
      </c>
      <c r="G31" s="96">
        <f t="shared" si="6"/>
        <v>3645.72</v>
      </c>
      <c r="J31" t="s">
        <v>25</v>
      </c>
      <c r="O31" s="99" t="s">
        <v>5095</v>
      </c>
      <c r="P31" s="18">
        <v>4346112</v>
      </c>
      <c r="Q31" s="99">
        <v>11</v>
      </c>
      <c r="R31" s="99"/>
      <c r="S31" s="96"/>
      <c r="T31" s="96"/>
    </row>
    <row r="32" spans="1:22">
      <c r="B32" s="96"/>
      <c r="C32" s="96" t="s">
        <v>5211</v>
      </c>
      <c r="D32" s="96">
        <v>235</v>
      </c>
      <c r="E32" s="96">
        <v>1</v>
      </c>
      <c r="F32" s="96">
        <f t="shared" ref="F32:F35" si="7">D32*E32*$D$40</f>
        <v>235000000</v>
      </c>
      <c r="G32" s="96">
        <f t="shared" si="6"/>
        <v>2679</v>
      </c>
      <c r="O32" s="99" t="s">
        <v>5112</v>
      </c>
      <c r="P32" s="18">
        <v>1500000</v>
      </c>
      <c r="Q32" s="99">
        <v>16</v>
      </c>
      <c r="R32" s="99"/>
      <c r="S32" s="96"/>
      <c r="T32" s="96"/>
    </row>
    <row r="33" spans="1:22">
      <c r="A33" s="96"/>
      <c r="B33" s="96"/>
      <c r="C33" s="96" t="s">
        <v>5212</v>
      </c>
      <c r="D33" s="96">
        <v>500</v>
      </c>
      <c r="E33" s="96">
        <v>0.6</v>
      </c>
      <c r="F33" s="96">
        <f t="shared" si="7"/>
        <v>300000000</v>
      </c>
      <c r="G33" s="96">
        <f t="shared" si="6"/>
        <v>3420</v>
      </c>
      <c r="O33" s="99" t="s">
        <v>5098</v>
      </c>
      <c r="P33" s="18">
        <v>6000000</v>
      </c>
      <c r="Q33" s="99">
        <v>8</v>
      </c>
      <c r="R33" s="99"/>
      <c r="S33" s="96"/>
      <c r="T33" s="96"/>
    </row>
    <row r="34" spans="1:22">
      <c r="A34" s="96"/>
      <c r="B34" s="96"/>
      <c r="C34" s="96" t="s">
        <v>5213</v>
      </c>
      <c r="D34" s="96">
        <v>903</v>
      </c>
      <c r="E34" s="96">
        <v>1</v>
      </c>
      <c r="F34" s="96">
        <f t="shared" si="7"/>
        <v>903000000</v>
      </c>
      <c r="G34" s="96">
        <f t="shared" si="6"/>
        <v>10294.200000000001</v>
      </c>
      <c r="O34" s="99" t="s">
        <v>5153</v>
      </c>
      <c r="P34" s="18">
        <v>-50000</v>
      </c>
      <c r="Q34" s="99">
        <v>3</v>
      </c>
      <c r="R34" s="99"/>
      <c r="S34" s="96"/>
      <c r="T34" s="96"/>
    </row>
    <row r="35" spans="1:22">
      <c r="A35" s="96"/>
      <c r="B35" s="96"/>
      <c r="E35" s="96"/>
      <c r="F35" s="96">
        <f t="shared" si="7"/>
        <v>0</v>
      </c>
      <c r="G35" s="96">
        <f t="shared" si="6"/>
        <v>0</v>
      </c>
      <c r="O35" s="99" t="s">
        <v>5156</v>
      </c>
      <c r="P35" s="18">
        <v>-20000</v>
      </c>
      <c r="Q35" s="99">
        <v>7</v>
      </c>
      <c r="R35" s="99"/>
      <c r="S35" s="96"/>
      <c r="T35" s="96"/>
    </row>
    <row r="36" spans="1:22">
      <c r="A36" s="96"/>
      <c r="B36" s="96"/>
      <c r="E36" s="96"/>
      <c r="F36" s="96"/>
      <c r="G36" s="96"/>
      <c r="N36" t="s">
        <v>25</v>
      </c>
      <c r="O36" s="99" t="s">
        <v>5114</v>
      </c>
      <c r="P36" s="18">
        <v>6000000</v>
      </c>
      <c r="Q36" s="99">
        <v>1</v>
      </c>
      <c r="R36" s="99"/>
      <c r="S36" s="96"/>
      <c r="T36" s="96"/>
      <c r="V36" t="s">
        <v>25</v>
      </c>
    </row>
    <row r="37" spans="1:22">
      <c r="A37" s="96"/>
      <c r="B37" s="96"/>
      <c r="E37" s="96"/>
      <c r="F37" s="96"/>
      <c r="G37" s="96"/>
      <c r="O37" s="99" t="s">
        <v>5174</v>
      </c>
      <c r="P37" s="18">
        <v>-2302282</v>
      </c>
      <c r="Q37" s="99">
        <v>6</v>
      </c>
      <c r="R37" s="99"/>
      <c r="S37" s="96"/>
      <c r="T37" s="96"/>
    </row>
    <row r="38" spans="1:22">
      <c r="A38" s="96"/>
      <c r="B38" s="96"/>
      <c r="E38" s="96"/>
      <c r="F38" s="96"/>
      <c r="O38" s="99" t="s">
        <v>5180</v>
      </c>
      <c r="P38" s="18">
        <v>100000</v>
      </c>
      <c r="Q38" s="99">
        <v>1</v>
      </c>
      <c r="R38" s="99"/>
      <c r="S38" s="96"/>
      <c r="T38" s="96"/>
    </row>
    <row r="39" spans="1:22">
      <c r="A39" s="96"/>
      <c r="B39" s="96"/>
      <c r="C39" s="96" t="s">
        <v>5199</v>
      </c>
      <c r="D39" s="96" t="s">
        <v>5200</v>
      </c>
      <c r="E39" s="96"/>
      <c r="F39" s="96"/>
      <c r="O39" s="99" t="s">
        <v>5183</v>
      </c>
      <c r="P39" s="18">
        <v>-1727718</v>
      </c>
      <c r="Q39" s="99">
        <v>2</v>
      </c>
      <c r="R39" s="99"/>
      <c r="S39" s="96"/>
      <c r="T39" s="96"/>
      <c r="V39" t="s">
        <v>25</v>
      </c>
    </row>
    <row r="40" spans="1:22">
      <c r="A40" s="96"/>
      <c r="B40" s="96"/>
      <c r="C40" s="96" t="s">
        <v>5206</v>
      </c>
      <c r="D40" s="96">
        <v>1000000</v>
      </c>
      <c r="E40" s="96"/>
      <c r="F40" s="96"/>
      <c r="O40" s="99" t="s">
        <v>5187</v>
      </c>
      <c r="P40" s="18">
        <v>-1000000</v>
      </c>
      <c r="Q40" s="99">
        <v>0</v>
      </c>
      <c r="R40" s="99"/>
      <c r="S40" s="96"/>
      <c r="T40" s="96"/>
    </row>
    <row r="41" spans="1:22">
      <c r="A41" s="96"/>
      <c r="B41" s="96"/>
      <c r="C41" s="96" t="s">
        <v>5201</v>
      </c>
      <c r="D41" s="96" t="s">
        <v>5202</v>
      </c>
      <c r="E41" s="96"/>
      <c r="F41" s="96"/>
      <c r="O41" s="99" t="s">
        <v>5187</v>
      </c>
      <c r="P41" s="18">
        <v>-439200</v>
      </c>
      <c r="Q41" s="99">
        <v>1</v>
      </c>
      <c r="R41" s="99"/>
      <c r="S41" s="96"/>
      <c r="T41" s="96"/>
    </row>
    <row r="42" spans="1:22">
      <c r="A42" s="96"/>
      <c r="B42" s="96"/>
      <c r="E42" s="96"/>
      <c r="F42" s="96"/>
      <c r="O42" s="99" t="s">
        <v>5192</v>
      </c>
      <c r="P42" s="18">
        <v>-3631879</v>
      </c>
      <c r="Q42" s="99">
        <v>3</v>
      </c>
      <c r="R42" s="99"/>
      <c r="S42" s="96"/>
      <c r="T42" s="96"/>
    </row>
    <row r="43" spans="1:22">
      <c r="A43" s="96"/>
      <c r="B43" s="96"/>
      <c r="E43" s="96"/>
      <c r="F43" s="96"/>
      <c r="O43" s="99" t="s">
        <v>5217</v>
      </c>
      <c r="P43" s="18">
        <v>-2428921</v>
      </c>
      <c r="Q43" s="99">
        <v>9</v>
      </c>
      <c r="R43" s="99"/>
      <c r="S43" s="96"/>
      <c r="T43" s="96"/>
    </row>
    <row r="44" spans="1:22">
      <c r="A44" s="96"/>
      <c r="B44" s="96"/>
      <c r="E44" s="96"/>
      <c r="F44" s="96"/>
      <c r="O44" s="99" t="s">
        <v>5238</v>
      </c>
      <c r="P44" s="18">
        <v>-500000</v>
      </c>
      <c r="Q44" s="99">
        <v>1</v>
      </c>
      <c r="R44" s="99"/>
      <c r="S44" s="96"/>
      <c r="T44" s="96"/>
    </row>
    <row r="45" spans="1:22">
      <c r="A45" s="96"/>
      <c r="B45" s="96"/>
      <c r="E45" s="96"/>
      <c r="F45" s="96"/>
      <c r="O45" s="99" t="s">
        <v>5239</v>
      </c>
      <c r="P45" s="18">
        <v>-2603</v>
      </c>
      <c r="Q45" s="99">
        <v>0</v>
      </c>
      <c r="R45" s="99" t="s">
        <v>5240</v>
      </c>
      <c r="S45" s="96"/>
      <c r="T45" s="96"/>
    </row>
    <row r="46" spans="1:22">
      <c r="A46" s="96"/>
      <c r="B46" s="96"/>
      <c r="E46" s="96"/>
      <c r="F46" s="96"/>
      <c r="O46" s="99" t="s">
        <v>5239</v>
      </c>
      <c r="P46" s="18">
        <v>-250000</v>
      </c>
      <c r="Q46" s="99">
        <v>7</v>
      </c>
      <c r="R46" s="99"/>
      <c r="S46" s="96"/>
      <c r="T46" s="96"/>
    </row>
    <row r="47" spans="1:22">
      <c r="A47" s="96"/>
      <c r="B47" s="96"/>
      <c r="E47" s="96"/>
      <c r="F47" s="96"/>
      <c r="M47" t="s">
        <v>25</v>
      </c>
      <c r="O47" s="99" t="s">
        <v>4271</v>
      </c>
      <c r="P47" s="18">
        <v>185749</v>
      </c>
      <c r="Q47" s="99">
        <v>5</v>
      </c>
      <c r="R47" s="99"/>
      <c r="S47" s="96"/>
      <c r="T47" s="96"/>
    </row>
    <row r="48" spans="1:22">
      <c r="A48" s="96"/>
      <c r="B48" s="96"/>
      <c r="E48" s="96"/>
      <c r="F48" s="96"/>
      <c r="M48" t="s">
        <v>25</v>
      </c>
      <c r="O48" s="99" t="s">
        <v>5255</v>
      </c>
      <c r="P48" s="18">
        <v>300000</v>
      </c>
      <c r="Q48" s="99">
        <v>3</v>
      </c>
      <c r="R48" s="99"/>
      <c r="S48" s="96"/>
      <c r="T48" s="96"/>
    </row>
    <row r="49" spans="1:21">
      <c r="A49" s="96"/>
      <c r="B49" s="96"/>
      <c r="E49" s="96"/>
      <c r="F49" s="96"/>
      <c r="O49" s="99" t="s">
        <v>5262</v>
      </c>
      <c r="P49" s="18">
        <v>-50000</v>
      </c>
      <c r="Q49" s="99">
        <v>3</v>
      </c>
      <c r="R49" s="99"/>
      <c r="S49" s="96"/>
      <c r="T49" s="96"/>
    </row>
    <row r="50" spans="1:21">
      <c r="A50" s="96"/>
      <c r="B50" s="96"/>
      <c r="E50" s="96"/>
      <c r="F50" s="96"/>
      <c r="O50" s="99" t="s">
        <v>5267</v>
      </c>
      <c r="P50" s="18">
        <v>-1683146</v>
      </c>
      <c r="Q50" s="99">
        <v>10</v>
      </c>
      <c r="R50" s="99"/>
      <c r="S50" s="96"/>
      <c r="T50" s="96"/>
    </row>
    <row r="51" spans="1:21">
      <c r="A51" s="96"/>
      <c r="B51" s="96"/>
      <c r="E51" s="96"/>
      <c r="F51" s="96"/>
      <c r="O51" s="99" t="s">
        <v>5281</v>
      </c>
      <c r="P51" s="18">
        <v>700000</v>
      </c>
      <c r="Q51" s="99">
        <v>18</v>
      </c>
      <c r="R51" s="99"/>
      <c r="S51" s="96"/>
      <c r="T51" s="96"/>
    </row>
    <row r="52" spans="1:21">
      <c r="A52" s="96"/>
      <c r="B52" s="96"/>
      <c r="E52" s="96"/>
      <c r="F52" s="96"/>
      <c r="O52" s="99" t="s">
        <v>5296</v>
      </c>
      <c r="P52" s="18">
        <v>-700000</v>
      </c>
      <c r="Q52" s="99">
        <v>46</v>
      </c>
      <c r="R52" s="99"/>
    </row>
    <row r="53" spans="1:21">
      <c r="A53" s="96"/>
      <c r="B53" s="96"/>
      <c r="E53" s="96"/>
      <c r="F53" s="96"/>
      <c r="O53" s="99" t="s">
        <v>5347</v>
      </c>
      <c r="P53" s="18">
        <v>1000000</v>
      </c>
      <c r="Q53" s="99">
        <v>4</v>
      </c>
      <c r="R53" s="99"/>
    </row>
    <row r="54" spans="1:21">
      <c r="A54" s="96"/>
      <c r="B54" s="96"/>
      <c r="E54" s="96"/>
      <c r="F54" s="96"/>
      <c r="O54" s="99" t="s">
        <v>5351</v>
      </c>
      <c r="P54" s="18">
        <v>1500000</v>
      </c>
      <c r="Q54" s="99">
        <v>1</v>
      </c>
      <c r="R54" s="99"/>
    </row>
    <row r="55" spans="1:21">
      <c r="A55" s="96"/>
      <c r="B55" s="96"/>
      <c r="E55" s="96"/>
      <c r="F55" s="96"/>
      <c r="O55" s="99" t="s">
        <v>5352</v>
      </c>
      <c r="P55" s="18">
        <v>-1500000</v>
      </c>
      <c r="Q55" s="99">
        <v>15</v>
      </c>
      <c r="R55" s="99"/>
    </row>
    <row r="56" spans="1:21">
      <c r="A56" s="96"/>
      <c r="B56" s="96"/>
      <c r="E56" s="96"/>
      <c r="F56" s="96"/>
      <c r="O56" s="99" t="s">
        <v>5386</v>
      </c>
      <c r="P56" s="18">
        <v>-100000</v>
      </c>
      <c r="Q56" s="99">
        <v>5</v>
      </c>
      <c r="R56" s="99"/>
    </row>
    <row r="57" spans="1:21">
      <c r="A57" s="96"/>
      <c r="B57" s="96"/>
      <c r="E57" s="96"/>
      <c r="F57" s="96"/>
      <c r="O57" s="99" t="s">
        <v>5392</v>
      </c>
      <c r="P57" s="18">
        <v>1164690</v>
      </c>
      <c r="Q57" s="99">
        <v>4</v>
      </c>
      <c r="R57" s="99"/>
      <c r="S57" t="s">
        <v>25</v>
      </c>
    </row>
    <row r="58" spans="1:21">
      <c r="A58" s="96"/>
      <c r="B58" s="96"/>
      <c r="E58" s="96"/>
      <c r="F58" s="96"/>
      <c r="O58" s="99" t="s">
        <v>5403</v>
      </c>
      <c r="P58" s="18">
        <v>1000000</v>
      </c>
      <c r="Q58" s="99">
        <v>4</v>
      </c>
      <c r="R58" s="99"/>
    </row>
    <row r="59" spans="1:21">
      <c r="A59" s="96"/>
      <c r="B59" s="96"/>
      <c r="E59" s="96"/>
      <c r="F59" s="96"/>
      <c r="O59" s="99" t="s">
        <v>5408</v>
      </c>
      <c r="P59" s="18">
        <v>-264690</v>
      </c>
      <c r="Q59" s="99">
        <v>7</v>
      </c>
      <c r="R59" s="99"/>
    </row>
    <row r="60" spans="1:21">
      <c r="A60" s="96"/>
      <c r="B60" s="96"/>
      <c r="E60" s="96"/>
      <c r="F60" s="96"/>
      <c r="N60" t="s">
        <v>25</v>
      </c>
      <c r="O60" s="99" t="s">
        <v>5429</v>
      </c>
      <c r="P60" s="18">
        <v>2700000</v>
      </c>
      <c r="Q60" s="99">
        <v>0</v>
      </c>
      <c r="R60" s="99"/>
    </row>
    <row r="61" spans="1:21">
      <c r="A61" s="96"/>
      <c r="B61" s="96"/>
      <c r="E61" s="96"/>
      <c r="F61" s="96"/>
      <c r="O61" s="99" t="s">
        <v>5429</v>
      </c>
      <c r="P61" s="18">
        <v>-1000000</v>
      </c>
      <c r="Q61" s="99">
        <v>1</v>
      </c>
      <c r="R61" s="99" t="s">
        <v>5433</v>
      </c>
    </row>
    <row r="62" spans="1:21">
      <c r="A62" s="96"/>
      <c r="B62" s="96"/>
      <c r="E62" s="96"/>
      <c r="F62" s="96"/>
      <c r="O62" s="99" t="s">
        <v>5435</v>
      </c>
      <c r="P62" s="18">
        <v>-75616</v>
      </c>
      <c r="Q62" s="99">
        <v>2</v>
      </c>
      <c r="R62" s="99" t="s">
        <v>5436</v>
      </c>
    </row>
    <row r="63" spans="1:21">
      <c r="A63" s="96"/>
      <c r="B63" s="96"/>
      <c r="E63" s="96"/>
      <c r="F63" s="96"/>
      <c r="O63" s="99" t="s">
        <v>975</v>
      </c>
      <c r="P63" s="18">
        <v>-2424384</v>
      </c>
      <c r="Q63" s="99">
        <v>2</v>
      </c>
      <c r="R63" s="99"/>
      <c r="U63" t="s">
        <v>25</v>
      </c>
    </row>
    <row r="64" spans="1:21">
      <c r="A64" s="96"/>
      <c r="B64" s="96"/>
      <c r="E64" s="96"/>
      <c r="F64" s="96"/>
      <c r="O64" s="99" t="s">
        <v>5458</v>
      </c>
      <c r="P64" s="18">
        <v>-2000000</v>
      </c>
      <c r="Q64" s="99">
        <v>6</v>
      </c>
      <c r="R64" s="99"/>
    </row>
    <row r="65" spans="1:21">
      <c r="A65" s="96"/>
      <c r="B65" s="96"/>
      <c r="E65" s="96"/>
      <c r="F65" s="96"/>
      <c r="O65" s="99" t="s">
        <v>5500</v>
      </c>
      <c r="P65" s="18">
        <v>2500000</v>
      </c>
      <c r="Q65" s="99">
        <v>1</v>
      </c>
      <c r="R65" s="99"/>
    </row>
    <row r="66" spans="1:21">
      <c r="A66" s="96"/>
      <c r="B66" s="96"/>
      <c r="E66" s="96"/>
      <c r="F66" s="96"/>
      <c r="O66" s="99" t="s">
        <v>5504</v>
      </c>
      <c r="P66" s="18">
        <v>3000000</v>
      </c>
      <c r="Q66" s="99">
        <v>3</v>
      </c>
      <c r="R66" s="99"/>
    </row>
    <row r="67" spans="1:21">
      <c r="A67" s="96"/>
      <c r="B67" s="96"/>
      <c r="E67" s="96"/>
      <c r="F67" s="96"/>
      <c r="O67" s="99" t="s">
        <v>5515</v>
      </c>
      <c r="P67" s="18">
        <v>-300000</v>
      </c>
      <c r="Q67" s="99">
        <v>5</v>
      </c>
      <c r="R67" s="99"/>
    </row>
    <row r="68" spans="1:21">
      <c r="A68" s="96"/>
      <c r="B68" s="96"/>
      <c r="E68" s="96"/>
      <c r="F68" s="96"/>
      <c r="O68" s="99" t="s">
        <v>5547</v>
      </c>
      <c r="P68" s="18">
        <v>500000</v>
      </c>
      <c r="Q68" s="99">
        <v>1</v>
      </c>
      <c r="R68" s="99"/>
    </row>
    <row r="69" spans="1:21">
      <c r="A69" s="96"/>
      <c r="B69" s="96"/>
      <c r="E69" s="96"/>
      <c r="F69" s="96"/>
      <c r="O69" s="99" t="s">
        <v>5550</v>
      </c>
      <c r="P69" s="18">
        <v>1000000</v>
      </c>
      <c r="Q69" s="99">
        <v>5</v>
      </c>
      <c r="R69" s="99"/>
    </row>
    <row r="70" spans="1:21">
      <c r="A70" s="96"/>
      <c r="B70" s="96"/>
      <c r="E70" s="96"/>
      <c r="F70" s="96"/>
      <c r="O70" s="99" t="s">
        <v>5563</v>
      </c>
      <c r="P70" s="18">
        <v>-2700000</v>
      </c>
      <c r="Q70" s="99">
        <v>1</v>
      </c>
      <c r="R70" s="99"/>
    </row>
    <row r="71" spans="1:21">
      <c r="A71" s="96"/>
      <c r="B71" s="96"/>
      <c r="E71" s="96"/>
      <c r="F71" s="96"/>
      <c r="M71" t="s">
        <v>25</v>
      </c>
      <c r="O71" s="99" t="s">
        <v>5569</v>
      </c>
      <c r="P71" s="18">
        <v>-3600000</v>
      </c>
      <c r="Q71" s="99">
        <v>1</v>
      </c>
      <c r="R71" s="99"/>
    </row>
    <row r="72" spans="1:21">
      <c r="A72" s="96"/>
      <c r="B72" s="96"/>
      <c r="E72" s="96"/>
      <c r="F72" s="96"/>
      <c r="O72" s="99" t="s">
        <v>999</v>
      </c>
      <c r="P72" s="18">
        <v>-400000</v>
      </c>
      <c r="Q72" s="99">
        <v>1</v>
      </c>
      <c r="R72" s="99"/>
    </row>
    <row r="73" spans="1:21">
      <c r="A73" s="96"/>
      <c r="B73" s="96"/>
      <c r="E73" s="96"/>
      <c r="F73" s="96"/>
      <c r="O73" s="99"/>
      <c r="P73" s="18"/>
      <c r="Q73" s="99"/>
      <c r="R73" s="99"/>
    </row>
    <row r="74" spans="1:21">
      <c r="A74" s="96"/>
      <c r="B74" s="96"/>
      <c r="E74" s="96"/>
      <c r="F74" s="96"/>
      <c r="O74" s="99"/>
      <c r="P74" s="18"/>
      <c r="Q74" s="99"/>
      <c r="R74" s="99"/>
    </row>
    <row r="75" spans="1:21">
      <c r="A75" s="96"/>
      <c r="B75" s="96"/>
      <c r="E75" s="96"/>
      <c r="F75" s="96"/>
      <c r="O75" s="99"/>
      <c r="P75" s="18"/>
      <c r="Q75" s="99"/>
      <c r="R75" s="99"/>
    </row>
    <row r="76" spans="1:21">
      <c r="A76" s="96"/>
      <c r="B76" s="96"/>
      <c r="E76" s="96"/>
      <c r="F76" s="96"/>
      <c r="O76" s="99"/>
      <c r="P76" s="18">
        <f>SUM(P14:P75)</f>
        <v>0</v>
      </c>
      <c r="Q76" s="99"/>
      <c r="R76" s="99"/>
    </row>
    <row r="77" spans="1:21">
      <c r="A77" s="96"/>
      <c r="B77" s="96"/>
      <c r="E77" s="96"/>
      <c r="F77" s="96"/>
      <c r="P77" t="s">
        <v>4992</v>
      </c>
      <c r="U77" t="s">
        <v>25</v>
      </c>
    </row>
    <row r="78" spans="1:21">
      <c r="A78" s="96"/>
      <c r="B78" s="96"/>
      <c r="E78" s="96"/>
      <c r="F78" s="96"/>
    </row>
    <row r="79" spans="1:21">
      <c r="A79" s="96"/>
      <c r="B79" s="96"/>
      <c r="E79" s="96"/>
      <c r="F79" s="96"/>
      <c r="O79" t="s">
        <v>25</v>
      </c>
    </row>
    <row r="80" spans="1:21">
      <c r="A80" s="96"/>
      <c r="B80" s="96"/>
      <c r="E80" s="96"/>
      <c r="F80" s="96"/>
    </row>
    <row r="81" spans="2:18">
      <c r="B81" s="96"/>
      <c r="E81" s="96"/>
      <c r="F81" s="96"/>
      <c r="Q81" t="s">
        <v>25</v>
      </c>
    </row>
    <row r="82" spans="2:18">
      <c r="E82" s="96"/>
      <c r="F82" s="96"/>
      <c r="O82" t="s">
        <v>25</v>
      </c>
      <c r="R82" t="s">
        <v>25</v>
      </c>
    </row>
    <row r="83" spans="2:18">
      <c r="E83" s="96"/>
      <c r="F83" s="96"/>
      <c r="P83" t="s">
        <v>25</v>
      </c>
      <c r="R83" t="s">
        <v>25</v>
      </c>
    </row>
    <row r="84" spans="2:18">
      <c r="E84" s="96"/>
      <c r="F84" s="96"/>
      <c r="R84" t="s">
        <v>25</v>
      </c>
    </row>
    <row r="85" spans="2:18">
      <c r="E85" s="96"/>
      <c r="F85" s="96"/>
    </row>
    <row r="86" spans="2:18">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4878</v>
      </c>
      <c r="E1" t="s">
        <v>4879</v>
      </c>
      <c r="F1" t="s">
        <v>8</v>
      </c>
    </row>
    <row r="2" spans="1:6">
      <c r="A2" t="s">
        <v>4882</v>
      </c>
      <c r="B2">
        <v>237</v>
      </c>
      <c r="C2">
        <v>281</v>
      </c>
      <c r="D2">
        <f>B2/C2</f>
        <v>0.84341637010676151</v>
      </c>
      <c r="E2" t="s">
        <v>4883</v>
      </c>
      <c r="F2" t="s">
        <v>4884</v>
      </c>
    </row>
    <row r="3" spans="1:6">
      <c r="A3" t="s">
        <v>4522</v>
      </c>
      <c r="B3">
        <v>134</v>
      </c>
      <c r="C3">
        <v>193</v>
      </c>
      <c r="D3" s="96">
        <f t="shared" ref="D3:D21" si="0">B3/C3</f>
        <v>0.69430051813471505</v>
      </c>
      <c r="E3" t="s">
        <v>4883</v>
      </c>
      <c r="F3" s="96" t="s">
        <v>4884</v>
      </c>
    </row>
    <row r="4" spans="1:6">
      <c r="A4" t="s">
        <v>4885</v>
      </c>
      <c r="B4">
        <v>195</v>
      </c>
      <c r="C4">
        <v>73</v>
      </c>
      <c r="D4" s="96">
        <f t="shared" si="0"/>
        <v>2.6712328767123288</v>
      </c>
      <c r="E4" t="s">
        <v>4886</v>
      </c>
      <c r="F4" t="s">
        <v>4887</v>
      </c>
    </row>
    <row r="5" spans="1:6">
      <c r="A5" t="s">
        <v>4888</v>
      </c>
      <c r="B5">
        <v>1</v>
      </c>
      <c r="C5">
        <v>1</v>
      </c>
      <c r="D5" s="96">
        <f t="shared" si="0"/>
        <v>1</v>
      </c>
      <c r="E5" t="s">
        <v>4886</v>
      </c>
      <c r="F5" t="s">
        <v>4889</v>
      </c>
    </row>
    <row r="6" spans="1:6">
      <c r="A6" t="s">
        <v>4562</v>
      </c>
      <c r="B6">
        <v>163</v>
      </c>
      <c r="C6">
        <v>232</v>
      </c>
      <c r="D6" s="96">
        <f t="shared" si="0"/>
        <v>0.70258620689655171</v>
      </c>
      <c r="F6" s="96" t="s">
        <v>4884</v>
      </c>
    </row>
    <row r="7" spans="1:6">
      <c r="A7" t="s">
        <v>4890</v>
      </c>
      <c r="B7">
        <v>247</v>
      </c>
      <c r="C7">
        <v>250</v>
      </c>
      <c r="D7" s="96">
        <f t="shared" si="0"/>
        <v>0.98799999999999999</v>
      </c>
    </row>
    <row r="8" spans="1:6">
      <c r="A8" t="s">
        <v>4891</v>
      </c>
      <c r="B8">
        <v>335</v>
      </c>
      <c r="C8">
        <v>141</v>
      </c>
      <c r="D8" s="96">
        <f t="shared" si="0"/>
        <v>2.375886524822695</v>
      </c>
      <c r="F8" s="96" t="s">
        <v>4889</v>
      </c>
    </row>
    <row r="9" spans="1:6">
      <c r="A9" t="s">
        <v>4781</v>
      </c>
      <c r="B9">
        <v>150</v>
      </c>
      <c r="C9">
        <v>240</v>
      </c>
      <c r="D9" s="96">
        <f t="shared" si="0"/>
        <v>0.625</v>
      </c>
      <c r="F9" t="s">
        <v>4892</v>
      </c>
    </row>
    <row r="10" spans="1:6">
      <c r="A10" t="s">
        <v>4893</v>
      </c>
      <c r="B10">
        <v>187</v>
      </c>
      <c r="C10">
        <v>208</v>
      </c>
      <c r="D10" s="96">
        <f t="shared" si="0"/>
        <v>0.89903846153846156</v>
      </c>
      <c r="F10" t="s">
        <v>4883</v>
      </c>
    </row>
    <row r="11" spans="1:6">
      <c r="A11" t="s">
        <v>4894</v>
      </c>
      <c r="B11">
        <v>412</v>
      </c>
      <c r="C11">
        <v>183</v>
      </c>
      <c r="D11" s="96">
        <f t="shared" si="0"/>
        <v>2.2513661202185791</v>
      </c>
      <c r="F11" s="96" t="s">
        <v>4889</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4877</v>
      </c>
      <c r="B21">
        <v>113</v>
      </c>
      <c r="C21">
        <v>215</v>
      </c>
      <c r="D21" s="96">
        <f t="shared" si="0"/>
        <v>0.52558139534883719</v>
      </c>
      <c r="E21" t="s">
        <v>4880</v>
      </c>
      <c r="F21" t="s">
        <v>4881</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topLeftCell="A104" workbookViewId="0">
      <selection activeCell="E123" sqref="E123"/>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4827</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4829</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4826</v>
      </c>
      <c r="B4" s="18">
        <v>-960200</v>
      </c>
      <c r="C4" s="18">
        <v>0</v>
      </c>
      <c r="D4" s="113">
        <f t="shared" si="0"/>
        <v>-960200</v>
      </c>
      <c r="E4" s="99" t="s">
        <v>4830</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4742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4742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4742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4750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4750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4750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4754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4760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4760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4771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4794</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4799</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4802</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4802</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4802</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4804</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4804</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4805</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4805</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4810</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4819</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4819</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4819</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4607</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4831</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4828</v>
      </c>
      <c r="F42" s="96"/>
      <c r="G42" s="96"/>
      <c r="H42" s="96"/>
      <c r="I42" s="96"/>
      <c r="J42" s="96"/>
      <c r="K42" s="96"/>
      <c r="L42" s="96"/>
      <c r="M42" s="96"/>
      <c r="N42" s="96"/>
      <c r="O42" s="96"/>
      <c r="P42" s="96"/>
      <c r="Q42" s="96"/>
      <c r="R42" s="96"/>
      <c r="S42" s="96"/>
      <c r="T42" s="96"/>
      <c r="U42" s="96"/>
    </row>
    <row r="43" spans="1:21">
      <c r="A43" s="96"/>
      <c r="B43" s="96"/>
      <c r="C43" s="96"/>
      <c r="D43" s="18">
        <v>252830</v>
      </c>
      <c r="E43" s="122" t="s">
        <v>4833</v>
      </c>
      <c r="F43" s="96"/>
      <c r="G43" s="96"/>
      <c r="H43" s="96"/>
      <c r="I43" s="96"/>
      <c r="J43" s="96"/>
      <c r="K43" s="96"/>
      <c r="L43" s="96"/>
      <c r="M43" s="96"/>
      <c r="N43" s="96"/>
      <c r="O43" s="96"/>
      <c r="P43" s="96"/>
      <c r="Q43" s="96"/>
      <c r="R43" s="96"/>
      <c r="S43" s="96"/>
      <c r="T43" s="96"/>
      <c r="U43" s="96"/>
    </row>
    <row r="44" spans="1:21">
      <c r="A44" s="96"/>
      <c r="B44" s="96"/>
      <c r="C44" s="96"/>
      <c r="D44" s="18">
        <v>178820</v>
      </c>
      <c r="E44" s="122" t="s">
        <v>4837</v>
      </c>
      <c r="F44" s="96"/>
      <c r="G44" s="96"/>
      <c r="H44" s="96"/>
      <c r="I44" s="96"/>
      <c r="J44" s="96"/>
      <c r="K44" s="96"/>
      <c r="L44" s="96"/>
      <c r="M44" s="96"/>
      <c r="N44" s="96"/>
      <c r="O44" s="96"/>
      <c r="P44" s="96"/>
      <c r="Q44" s="96"/>
      <c r="R44" s="96"/>
      <c r="S44" s="96"/>
      <c r="T44" s="96"/>
      <c r="U44" s="96"/>
    </row>
    <row r="45" spans="1:21">
      <c r="A45" s="96"/>
      <c r="B45" s="96"/>
      <c r="C45" s="96"/>
      <c r="D45" s="18">
        <v>382000</v>
      </c>
      <c r="E45" s="122" t="s">
        <v>4844</v>
      </c>
      <c r="F45" s="96"/>
      <c r="G45" s="96"/>
      <c r="H45" s="96"/>
      <c r="I45" s="96"/>
      <c r="J45" s="96"/>
      <c r="K45" s="96"/>
      <c r="L45" s="96"/>
      <c r="M45" s="96"/>
      <c r="N45" s="96"/>
      <c r="O45" s="96"/>
      <c r="P45" s="96"/>
      <c r="Q45" s="96"/>
      <c r="R45" s="96"/>
      <c r="S45" s="96"/>
      <c r="T45" s="96"/>
      <c r="U45" s="96"/>
    </row>
    <row r="46" spans="1:21">
      <c r="A46" s="96"/>
      <c r="B46" s="96"/>
      <c r="C46" s="96"/>
      <c r="D46" s="18">
        <v>-200000</v>
      </c>
      <c r="E46" s="122" t="s">
        <v>4845</v>
      </c>
      <c r="F46" s="96"/>
      <c r="G46" s="96"/>
      <c r="H46" s="96"/>
      <c r="I46" s="96"/>
      <c r="J46" s="96"/>
      <c r="K46" s="96"/>
      <c r="L46" s="96"/>
      <c r="M46" s="96"/>
      <c r="N46" s="96"/>
      <c r="O46" s="96"/>
      <c r="P46" s="96"/>
      <c r="Q46" s="96"/>
      <c r="R46" s="96"/>
      <c r="S46" s="96"/>
      <c r="T46" s="96"/>
      <c r="U46" s="96"/>
    </row>
    <row r="47" spans="1:21">
      <c r="A47" s="96"/>
      <c r="B47" s="96"/>
      <c r="C47" s="96"/>
      <c r="D47" s="18">
        <v>-2336075</v>
      </c>
      <c r="E47" s="122" t="s">
        <v>4848</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4851</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4859</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4861</v>
      </c>
      <c r="F50" s="96"/>
      <c r="G50" s="96"/>
      <c r="H50" s="96"/>
      <c r="I50" s="96"/>
      <c r="J50" s="96"/>
      <c r="K50" s="96"/>
      <c r="L50" s="96"/>
      <c r="M50" s="96"/>
      <c r="N50" s="96"/>
      <c r="O50" s="96"/>
      <c r="P50" s="96"/>
      <c r="Q50" s="96"/>
      <c r="R50" s="96"/>
      <c r="S50" s="96"/>
      <c r="T50" s="96"/>
      <c r="U50" s="96"/>
    </row>
    <row r="51" spans="1:21">
      <c r="A51" s="96"/>
      <c r="B51" s="96"/>
      <c r="C51" s="96"/>
      <c r="D51" s="18">
        <v>-40000</v>
      </c>
      <c r="E51" s="122" t="s">
        <v>4862</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4873</v>
      </c>
      <c r="F52" s="96"/>
      <c r="G52" s="96"/>
      <c r="H52" s="96"/>
      <c r="I52" s="96"/>
      <c r="J52" s="96"/>
      <c r="K52" s="96"/>
      <c r="L52" s="96"/>
      <c r="M52" s="96"/>
      <c r="N52" s="96"/>
      <c r="O52" s="96"/>
      <c r="P52" s="96"/>
      <c r="Q52" s="96"/>
      <c r="R52" s="96"/>
      <c r="S52" s="96"/>
      <c r="T52" s="96"/>
      <c r="U52" s="96"/>
    </row>
    <row r="53" spans="1:21">
      <c r="A53" s="96"/>
      <c r="B53" s="96"/>
      <c r="C53" s="96"/>
      <c r="D53" s="18">
        <v>160000</v>
      </c>
      <c r="E53" s="122" t="s">
        <v>4876</v>
      </c>
      <c r="F53" s="96"/>
      <c r="G53" s="96"/>
      <c r="H53" s="96"/>
      <c r="I53" s="96"/>
      <c r="J53" s="96"/>
      <c r="K53" s="96"/>
      <c r="L53" s="96"/>
      <c r="M53" s="96"/>
      <c r="N53" s="96"/>
      <c r="O53" s="96"/>
      <c r="P53" s="96"/>
      <c r="Q53" s="96"/>
      <c r="R53" s="96"/>
      <c r="S53" s="96"/>
      <c r="T53" s="96"/>
      <c r="U53" s="96"/>
    </row>
    <row r="54" spans="1:21">
      <c r="A54" s="96"/>
      <c r="B54" s="96"/>
      <c r="C54" s="96"/>
      <c r="D54" s="18">
        <v>-224012</v>
      </c>
      <c r="E54" s="122" t="s">
        <v>4913</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4914</v>
      </c>
      <c r="F55" s="114"/>
      <c r="G55" s="41"/>
      <c r="H55" s="96"/>
      <c r="I55" s="96"/>
      <c r="J55" s="96"/>
      <c r="K55" s="96"/>
      <c r="L55" s="96"/>
      <c r="M55" s="96"/>
      <c r="N55" s="96"/>
      <c r="O55" s="96"/>
      <c r="P55" s="96"/>
      <c r="Q55" s="96"/>
      <c r="R55" s="96"/>
      <c r="S55" s="96"/>
      <c r="T55" s="96"/>
      <c r="U55" s="96"/>
    </row>
    <row r="56" spans="1:21">
      <c r="A56" s="96"/>
      <c r="B56" s="96"/>
      <c r="C56" s="96"/>
      <c r="D56" s="18">
        <v>1465000</v>
      </c>
      <c r="E56" s="122" t="s">
        <v>4922</v>
      </c>
      <c r="F56" s="114"/>
      <c r="G56" s="41"/>
      <c r="H56" s="96"/>
      <c r="I56" s="96"/>
      <c r="J56" s="96"/>
      <c r="K56" s="96"/>
      <c r="L56" s="96"/>
      <c r="M56" s="96"/>
      <c r="N56" s="96"/>
      <c r="O56" s="96"/>
      <c r="P56" s="96"/>
      <c r="Q56" s="96"/>
      <c r="R56" s="96"/>
      <c r="S56" s="96"/>
      <c r="T56" s="96"/>
      <c r="U56" s="96"/>
    </row>
    <row r="57" spans="1:21">
      <c r="A57" s="96"/>
      <c r="B57" s="96"/>
      <c r="C57" s="96"/>
      <c r="D57" s="18">
        <v>2600000</v>
      </c>
      <c r="E57" s="122" t="s">
        <v>4959</v>
      </c>
      <c r="F57" s="114"/>
      <c r="G57" s="41"/>
      <c r="H57" s="96"/>
      <c r="I57" s="96"/>
      <c r="J57" s="96"/>
      <c r="K57" s="96"/>
      <c r="L57" s="96"/>
      <c r="M57" s="96"/>
      <c r="N57" s="96"/>
      <c r="O57" s="96"/>
      <c r="P57" s="96"/>
      <c r="Q57" s="96"/>
      <c r="R57" s="96"/>
      <c r="S57" s="96"/>
      <c r="T57" s="96"/>
      <c r="U57" s="96"/>
    </row>
    <row r="58" spans="1:21">
      <c r="A58" s="96"/>
      <c r="B58" s="96"/>
      <c r="C58" s="96"/>
      <c r="D58" s="18">
        <v>-1170000</v>
      </c>
      <c r="E58" s="122" t="s">
        <v>4970</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4969</v>
      </c>
      <c r="F59" s="114"/>
      <c r="G59" s="96"/>
      <c r="H59" s="96"/>
      <c r="I59" s="96"/>
      <c r="J59" s="96"/>
      <c r="K59" s="96"/>
      <c r="L59" s="96"/>
      <c r="M59" s="96"/>
      <c r="N59" s="96"/>
      <c r="O59" s="96"/>
      <c r="P59" s="96"/>
      <c r="Q59" s="96"/>
      <c r="R59" s="96"/>
      <c r="S59" s="96"/>
      <c r="T59" s="96"/>
      <c r="U59" s="96"/>
    </row>
    <row r="60" spans="1:21">
      <c r="A60" s="96"/>
      <c r="B60" s="96"/>
      <c r="C60" s="96"/>
      <c r="D60" s="18">
        <v>360000</v>
      </c>
      <c r="E60" s="122" t="s">
        <v>4980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4" t="s">
        <v>5003</v>
      </c>
      <c r="F61" s="96"/>
      <c r="G61" s="96"/>
      <c r="H61" s="96"/>
      <c r="I61" s="96"/>
      <c r="J61" s="96"/>
      <c r="K61" s="96"/>
      <c r="L61" s="96"/>
      <c r="M61" s="96"/>
      <c r="N61" s="96"/>
      <c r="O61" s="96"/>
      <c r="P61" s="96"/>
      <c r="Q61" s="96"/>
      <c r="R61" s="96"/>
      <c r="S61" s="96"/>
      <c r="T61" s="96"/>
      <c r="U61" s="96"/>
    </row>
    <row r="62" spans="1:21">
      <c r="A62" s="96"/>
      <c r="B62" s="96"/>
      <c r="C62" s="96"/>
      <c r="D62" s="18">
        <v>-550000</v>
      </c>
      <c r="E62" s="254" t="s">
        <v>5006</v>
      </c>
      <c r="F62" s="96"/>
      <c r="G62" s="96"/>
      <c r="H62" s="96"/>
      <c r="I62" s="96"/>
      <c r="J62" s="96"/>
      <c r="K62" s="96"/>
      <c r="L62" s="96"/>
      <c r="M62" s="96"/>
      <c r="N62" s="96"/>
      <c r="O62" s="96"/>
      <c r="P62" s="96"/>
      <c r="Q62" s="96"/>
      <c r="R62" s="96"/>
      <c r="S62" s="96"/>
      <c r="T62" s="96"/>
      <c r="U62" s="96"/>
    </row>
    <row r="63" spans="1:21">
      <c r="A63" s="96"/>
      <c r="B63" s="96"/>
      <c r="C63" s="96"/>
      <c r="D63" s="18">
        <v>-850000</v>
      </c>
      <c r="E63" s="254" t="s">
        <v>5014</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4" t="s">
        <v>5018</v>
      </c>
      <c r="F64" s="96"/>
      <c r="G64" s="96"/>
      <c r="H64" s="96" t="s">
        <v>25</v>
      </c>
      <c r="I64" s="96"/>
      <c r="J64" s="96"/>
      <c r="K64" s="96"/>
      <c r="L64" s="96"/>
      <c r="M64" s="96"/>
      <c r="N64" s="96"/>
      <c r="O64" s="96"/>
      <c r="P64" s="96"/>
      <c r="Q64" s="96"/>
      <c r="R64" s="96"/>
      <c r="S64" s="96"/>
      <c r="T64" s="96"/>
      <c r="U64" s="96"/>
    </row>
    <row r="65" spans="1:21">
      <c r="A65" s="96"/>
      <c r="B65" s="96"/>
      <c r="C65" s="96"/>
      <c r="D65" s="18">
        <v>300000</v>
      </c>
      <c r="E65" s="254" t="s">
        <v>5023</v>
      </c>
      <c r="F65" s="96"/>
      <c r="G65" s="96"/>
      <c r="H65" s="96"/>
      <c r="I65" s="96"/>
      <c r="J65" s="96"/>
      <c r="K65" s="96"/>
      <c r="L65" s="96"/>
      <c r="M65" s="96"/>
      <c r="N65" s="96"/>
      <c r="O65" s="96"/>
      <c r="P65" s="96"/>
      <c r="Q65" s="96"/>
      <c r="R65" s="96"/>
      <c r="S65" s="96"/>
      <c r="T65" s="96"/>
      <c r="U65" s="96"/>
    </row>
    <row r="66" spans="1:21">
      <c r="A66" s="96"/>
      <c r="B66" s="96"/>
      <c r="C66" s="96"/>
      <c r="D66" s="18">
        <v>-2290500</v>
      </c>
      <c r="E66" s="254" t="s">
        <v>5024</v>
      </c>
      <c r="F66" s="96"/>
      <c r="G66" s="96"/>
      <c r="H66" s="96"/>
      <c r="I66" s="96"/>
      <c r="J66" s="96"/>
      <c r="K66" s="96"/>
      <c r="L66" s="96"/>
      <c r="M66" s="96"/>
      <c r="N66" s="96"/>
      <c r="O66" s="96"/>
      <c r="P66" s="96"/>
      <c r="Q66" s="96"/>
      <c r="R66" s="96"/>
      <c r="S66" s="96"/>
      <c r="T66" s="96"/>
      <c r="U66" s="96"/>
    </row>
    <row r="67" spans="1:21">
      <c r="A67" s="96"/>
      <c r="B67" s="96"/>
      <c r="C67" s="96"/>
      <c r="D67" s="18">
        <v>1700000</v>
      </c>
      <c r="E67" s="254" t="s">
        <v>5038</v>
      </c>
      <c r="F67" s="96"/>
      <c r="G67" s="96"/>
      <c r="H67" s="96"/>
      <c r="I67" s="96"/>
      <c r="J67" s="96"/>
      <c r="K67" s="96"/>
      <c r="L67" s="96"/>
      <c r="M67" s="96"/>
      <c r="N67" s="96"/>
      <c r="O67" s="96"/>
      <c r="P67" s="96"/>
      <c r="Q67" s="96"/>
      <c r="R67" s="96"/>
      <c r="S67" s="96"/>
      <c r="T67" s="96"/>
      <c r="U67" s="96"/>
    </row>
    <row r="68" spans="1:21">
      <c r="A68" s="96"/>
      <c r="B68" s="96"/>
      <c r="C68" s="96"/>
      <c r="D68" s="18">
        <v>-150000</v>
      </c>
      <c r="E68" s="254" t="s">
        <v>5043</v>
      </c>
      <c r="F68" s="96"/>
      <c r="G68" s="96"/>
      <c r="H68" s="96"/>
      <c r="I68" s="96"/>
      <c r="J68" s="96"/>
      <c r="K68" s="96"/>
      <c r="L68" s="96"/>
      <c r="M68" s="96"/>
      <c r="N68" s="96"/>
      <c r="O68" s="96"/>
      <c r="P68" s="96"/>
      <c r="Q68" s="96"/>
      <c r="R68" s="96"/>
      <c r="S68" s="96"/>
      <c r="T68" s="96"/>
      <c r="U68" s="96"/>
    </row>
    <row r="69" spans="1:21">
      <c r="A69" s="96"/>
      <c r="B69" s="96"/>
      <c r="C69" s="96"/>
      <c r="D69" s="18">
        <v>-550000</v>
      </c>
      <c r="E69" s="254" t="s">
        <v>5047</v>
      </c>
      <c r="F69" s="96"/>
      <c r="G69" s="96" t="s">
        <v>25</v>
      </c>
      <c r="H69" s="96"/>
      <c r="I69" s="96"/>
      <c r="J69" s="96"/>
      <c r="K69" s="96"/>
      <c r="L69" s="96"/>
      <c r="M69" s="96"/>
      <c r="N69" s="96"/>
      <c r="O69" s="96"/>
      <c r="P69" s="96"/>
      <c r="Q69" s="96"/>
      <c r="R69" s="96"/>
      <c r="S69" s="96"/>
      <c r="T69" s="96"/>
      <c r="U69" s="96"/>
    </row>
    <row r="70" spans="1:21">
      <c r="A70" s="96"/>
      <c r="B70" s="96"/>
      <c r="C70" s="96"/>
      <c r="D70" s="18">
        <v>13350000</v>
      </c>
      <c r="E70" s="254" t="s">
        <v>5066</v>
      </c>
      <c r="F70" s="96"/>
      <c r="G70" s="96" t="s">
        <v>25</v>
      </c>
      <c r="H70" s="96"/>
      <c r="I70" s="96"/>
      <c r="J70" s="96"/>
      <c r="K70" s="96"/>
      <c r="L70" s="96"/>
      <c r="M70" s="96"/>
      <c r="N70" s="96"/>
      <c r="O70" s="96"/>
      <c r="P70" s="96"/>
      <c r="Q70" s="96"/>
      <c r="R70" s="96"/>
      <c r="S70" s="96"/>
      <c r="T70" s="96"/>
      <c r="U70" s="96"/>
    </row>
    <row r="71" spans="1:21">
      <c r="A71" s="96"/>
      <c r="B71" s="96"/>
      <c r="C71" s="96"/>
      <c r="D71" s="18">
        <v>-200000</v>
      </c>
      <c r="E71" s="254" t="s">
        <v>5081</v>
      </c>
      <c r="F71" s="96"/>
      <c r="G71" s="96"/>
      <c r="H71" s="96"/>
      <c r="I71" s="96"/>
      <c r="J71" s="96"/>
      <c r="K71" s="96"/>
      <c r="L71" s="96"/>
      <c r="M71" s="96"/>
      <c r="N71" s="96"/>
      <c r="O71" s="96"/>
      <c r="P71" s="96"/>
      <c r="Q71" s="96"/>
      <c r="R71" s="96"/>
      <c r="S71" s="96"/>
      <c r="T71" s="96"/>
      <c r="U71" s="96"/>
    </row>
    <row r="72" spans="1:21">
      <c r="A72" s="96"/>
      <c r="B72" s="96"/>
      <c r="C72" s="96"/>
      <c r="D72" s="18">
        <v>1500000</v>
      </c>
      <c r="E72" s="254" t="s">
        <v>5082</v>
      </c>
      <c r="F72" s="96"/>
      <c r="G72" s="96"/>
      <c r="H72" s="96"/>
      <c r="I72" s="96"/>
      <c r="J72" s="96"/>
      <c r="K72" s="96"/>
      <c r="L72" s="96"/>
      <c r="M72" s="96"/>
      <c r="N72" s="96"/>
      <c r="O72" s="96"/>
      <c r="P72" s="96"/>
      <c r="Q72" s="96"/>
      <c r="R72" s="96"/>
      <c r="S72" s="96"/>
      <c r="T72" s="96"/>
      <c r="U72" s="96"/>
    </row>
    <row r="73" spans="1:21">
      <c r="A73" s="96"/>
      <c r="B73" s="96"/>
      <c r="C73" s="96"/>
      <c r="D73" s="18">
        <v>-550000</v>
      </c>
      <c r="E73" s="254" t="s">
        <v>5086</v>
      </c>
      <c r="F73" s="96"/>
      <c r="G73" s="96"/>
      <c r="H73" s="96"/>
      <c r="I73" s="96"/>
      <c r="J73" s="96"/>
      <c r="K73" s="96"/>
      <c r="L73" s="96"/>
      <c r="M73" s="96"/>
      <c r="N73" s="96"/>
      <c r="O73" s="96"/>
      <c r="P73" s="96"/>
      <c r="Q73" s="96"/>
      <c r="R73" s="96"/>
      <c r="S73" s="96"/>
      <c r="T73" s="96"/>
      <c r="U73" s="96"/>
    </row>
    <row r="74" spans="1:21">
      <c r="A74" s="96"/>
      <c r="B74" s="96"/>
      <c r="C74" s="96"/>
      <c r="D74" s="18">
        <v>-50000</v>
      </c>
      <c r="E74" s="254" t="s">
        <v>5087</v>
      </c>
      <c r="F74" s="96"/>
      <c r="G74" s="96"/>
      <c r="H74" s="96"/>
      <c r="I74" s="96"/>
      <c r="J74" s="96"/>
      <c r="K74" s="96"/>
      <c r="L74" s="96"/>
      <c r="M74" s="96"/>
      <c r="N74" s="96"/>
      <c r="O74" s="96"/>
      <c r="P74" s="96"/>
      <c r="Q74" s="96"/>
      <c r="R74" s="96"/>
      <c r="S74" s="96"/>
      <c r="T74" s="96"/>
      <c r="U74" s="96"/>
    </row>
    <row r="75" spans="1:21">
      <c r="A75" s="96"/>
      <c r="B75" s="96"/>
      <c r="C75" s="96"/>
      <c r="D75" s="18">
        <v>-60000</v>
      </c>
      <c r="E75" s="254" t="s">
        <v>5088</v>
      </c>
      <c r="F75" s="96"/>
      <c r="G75" s="96"/>
      <c r="H75" s="96"/>
      <c r="I75" s="96"/>
      <c r="J75" s="96"/>
      <c r="K75" s="96"/>
      <c r="L75" s="96"/>
      <c r="M75" s="96"/>
      <c r="N75" s="96"/>
      <c r="O75" s="96"/>
      <c r="P75" s="96"/>
      <c r="Q75" s="96"/>
      <c r="R75" s="96"/>
      <c r="S75" s="96"/>
      <c r="T75" s="96"/>
      <c r="U75" s="96"/>
    </row>
    <row r="76" spans="1:21">
      <c r="A76" s="96"/>
      <c r="B76" s="96"/>
      <c r="C76" s="96"/>
      <c r="D76" s="18">
        <v>-43000</v>
      </c>
      <c r="E76" s="254" t="s">
        <v>5096</v>
      </c>
      <c r="F76" s="96"/>
      <c r="G76" s="96"/>
      <c r="H76" s="96"/>
      <c r="I76" s="96" t="s">
        <v>25</v>
      </c>
      <c r="J76" s="96"/>
      <c r="K76" s="96"/>
      <c r="L76" s="96"/>
      <c r="M76" s="96"/>
      <c r="N76" s="96"/>
      <c r="O76" s="96"/>
      <c r="P76" s="96"/>
      <c r="Q76" s="96"/>
      <c r="R76" s="96"/>
      <c r="S76" s="96"/>
      <c r="T76" s="96"/>
      <c r="U76" s="96"/>
    </row>
    <row r="77" spans="1:21">
      <c r="A77" s="96"/>
      <c r="B77" s="96"/>
      <c r="C77" s="96"/>
      <c r="D77" s="18">
        <v>-320000</v>
      </c>
      <c r="E77" s="254" t="s">
        <v>5106</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4" t="s">
        <v>5107</v>
      </c>
      <c r="F78" s="96"/>
      <c r="G78" s="96"/>
      <c r="H78" s="96"/>
      <c r="I78" s="96"/>
      <c r="J78" s="96"/>
      <c r="K78" s="96"/>
      <c r="L78" s="96"/>
      <c r="M78" s="96"/>
      <c r="N78" s="96"/>
      <c r="O78" s="96"/>
      <c r="P78" s="96"/>
      <c r="Q78" s="96"/>
      <c r="R78" s="96"/>
      <c r="S78" s="96"/>
      <c r="T78" s="96"/>
      <c r="U78" s="96"/>
    </row>
    <row r="79" spans="1:21">
      <c r="A79" s="96"/>
      <c r="B79" s="96"/>
      <c r="C79" s="96"/>
      <c r="D79" s="18">
        <v>-750000</v>
      </c>
      <c r="E79" s="254" t="s">
        <v>5113</v>
      </c>
      <c r="F79" s="96"/>
      <c r="G79" s="96"/>
      <c r="H79" s="96"/>
      <c r="I79" s="96"/>
      <c r="J79" s="96"/>
      <c r="K79" s="96"/>
      <c r="L79" s="96"/>
      <c r="M79" s="96"/>
      <c r="N79" s="96"/>
      <c r="O79" s="96"/>
      <c r="P79" s="96"/>
      <c r="Q79" s="96"/>
      <c r="R79" s="96"/>
      <c r="S79" s="96"/>
      <c r="T79" s="96"/>
      <c r="U79" s="96"/>
    </row>
    <row r="80" spans="1:21">
      <c r="A80" s="96"/>
      <c r="B80" s="96"/>
      <c r="C80" s="96"/>
      <c r="D80" s="18">
        <v>50000</v>
      </c>
      <c r="E80" s="254" t="s">
        <v>5125</v>
      </c>
      <c r="F80" s="96"/>
      <c r="G80" s="96"/>
      <c r="H80" s="96"/>
      <c r="I80" s="96"/>
      <c r="J80" s="96"/>
      <c r="K80" s="96"/>
      <c r="L80" s="96"/>
      <c r="M80" s="96"/>
      <c r="N80" s="96"/>
      <c r="O80" s="96"/>
      <c r="P80" s="96"/>
      <c r="Q80" s="96"/>
      <c r="R80" s="96"/>
      <c r="S80" s="96"/>
      <c r="T80" s="96"/>
      <c r="U80" s="96"/>
    </row>
    <row r="81" spans="1:21">
      <c r="A81" s="96"/>
      <c r="B81" s="96"/>
      <c r="C81" s="96"/>
      <c r="D81" s="18">
        <v>500000</v>
      </c>
      <c r="E81" s="254" t="s">
        <v>5139</v>
      </c>
      <c r="F81" s="96"/>
      <c r="G81" s="96"/>
      <c r="H81" s="96"/>
      <c r="I81" s="96"/>
      <c r="J81" s="96"/>
      <c r="K81" s="96"/>
      <c r="L81" s="96"/>
      <c r="M81" s="96"/>
      <c r="N81" s="96"/>
      <c r="O81" s="96"/>
      <c r="P81" s="96"/>
      <c r="Q81" s="96"/>
      <c r="R81" s="96"/>
      <c r="S81" s="96"/>
      <c r="T81" s="96"/>
      <c r="U81" s="96"/>
    </row>
    <row r="82" spans="1:21">
      <c r="A82" s="96"/>
      <c r="B82" s="96"/>
      <c r="C82" s="96"/>
      <c r="D82" s="18">
        <v>1500000</v>
      </c>
      <c r="E82" s="254" t="s">
        <v>5138</v>
      </c>
      <c r="F82" s="96"/>
      <c r="G82" s="96"/>
      <c r="H82" s="96"/>
      <c r="I82" s="96"/>
      <c r="J82" s="96"/>
      <c r="K82" s="96"/>
      <c r="L82" s="96"/>
      <c r="M82" s="96"/>
      <c r="N82" s="96"/>
      <c r="O82" s="96"/>
      <c r="P82" s="96"/>
      <c r="Q82" s="96"/>
      <c r="R82" s="96"/>
      <c r="S82" s="96"/>
      <c r="T82" s="96"/>
      <c r="U82" s="96"/>
    </row>
    <row r="83" spans="1:21">
      <c r="D83" s="18">
        <v>-510000</v>
      </c>
      <c r="E83" s="254" t="s">
        <v>5140</v>
      </c>
      <c r="H83" t="s">
        <v>25</v>
      </c>
    </row>
    <row r="84" spans="1:21">
      <c r="D84" s="18">
        <v>-400000</v>
      </c>
      <c r="E84" s="254" t="s">
        <v>5154</v>
      </c>
    </row>
    <row r="85" spans="1:21">
      <c r="D85" s="18">
        <v>250000</v>
      </c>
      <c r="E85" s="254" t="s">
        <v>5160</v>
      </c>
    </row>
    <row r="86" spans="1:21">
      <c r="D86" s="18">
        <v>-50000</v>
      </c>
      <c r="E86" s="254" t="s">
        <v>5161</v>
      </c>
    </row>
    <row r="87" spans="1:21">
      <c r="D87" s="18">
        <v>-300000</v>
      </c>
      <c r="E87" s="254" t="s">
        <v>5165</v>
      </c>
    </row>
    <row r="88" spans="1:21">
      <c r="D88" s="18">
        <v>-100000</v>
      </c>
      <c r="E88" s="254" t="s">
        <v>5179</v>
      </c>
      <c r="I88" t="s">
        <v>25</v>
      </c>
    </row>
    <row r="89" spans="1:21">
      <c r="D89" s="18">
        <v>-250000</v>
      </c>
      <c r="E89" s="254" t="s">
        <v>5191</v>
      </c>
    </row>
    <row r="90" spans="1:21">
      <c r="D90" s="18">
        <v>-45000</v>
      </c>
      <c r="E90" s="254" t="s">
        <v>5214</v>
      </c>
    </row>
    <row r="91" spans="1:21">
      <c r="D91" s="18">
        <v>3000000</v>
      </c>
      <c r="E91" s="254" t="s">
        <v>5215</v>
      </c>
      <c r="I91" t="s">
        <v>25</v>
      </c>
    </row>
    <row r="92" spans="1:21">
      <c r="D92" s="18">
        <v>-550000</v>
      </c>
      <c r="E92" s="254" t="s">
        <v>5216</v>
      </c>
    </row>
    <row r="93" spans="1:21">
      <c r="D93" s="18">
        <v>-200000</v>
      </c>
      <c r="E93" s="254" t="s">
        <v>5230</v>
      </c>
      <c r="G93" t="s">
        <v>25</v>
      </c>
    </row>
    <row r="94" spans="1:21">
      <c r="D94" s="18">
        <v>-30500</v>
      </c>
      <c r="E94" s="254" t="s">
        <v>5231</v>
      </c>
    </row>
    <row r="95" spans="1:21">
      <c r="D95" s="18">
        <v>2500000</v>
      </c>
      <c r="E95" s="254" t="s">
        <v>5266</v>
      </c>
      <c r="I95" t="s">
        <v>25</v>
      </c>
    </row>
    <row r="96" spans="1:21">
      <c r="D96" s="18">
        <v>-230000</v>
      </c>
      <c r="E96" s="254" t="s">
        <v>5273</v>
      </c>
    </row>
    <row r="97" spans="4:10">
      <c r="D97" s="18">
        <v>-168950</v>
      </c>
      <c r="E97" s="254" t="s">
        <v>4401</v>
      </c>
      <c r="J97" t="s">
        <v>25</v>
      </c>
    </row>
    <row r="98" spans="4:10">
      <c r="D98" s="18">
        <v>-250000</v>
      </c>
      <c r="E98" s="254" t="s">
        <v>5285</v>
      </c>
    </row>
    <row r="99" spans="4:10">
      <c r="D99" s="18">
        <v>500000</v>
      </c>
      <c r="E99" s="254" t="s">
        <v>5299</v>
      </c>
    </row>
    <row r="100" spans="4:10">
      <c r="D100" s="18">
        <v>-520000</v>
      </c>
      <c r="E100" s="254" t="s">
        <v>5298</v>
      </c>
      <c r="J100" t="s">
        <v>25</v>
      </c>
    </row>
    <row r="101" spans="4:10">
      <c r="D101" s="18">
        <v>500000</v>
      </c>
      <c r="E101" s="254" t="s">
        <v>5309</v>
      </c>
    </row>
    <row r="102" spans="4:10">
      <c r="D102" s="18">
        <v>-200000</v>
      </c>
      <c r="E102" s="254" t="s">
        <v>5313</v>
      </c>
    </row>
    <row r="103" spans="4:10">
      <c r="D103" s="18">
        <v>-300000</v>
      </c>
      <c r="E103" s="254" t="s">
        <v>5314</v>
      </c>
    </row>
    <row r="104" spans="4:10">
      <c r="D104" s="18">
        <v>-530000</v>
      </c>
      <c r="E104" s="254" t="s">
        <v>5332</v>
      </c>
    </row>
    <row r="105" spans="4:10">
      <c r="D105" s="18">
        <v>-550000</v>
      </c>
      <c r="E105" s="254" t="s">
        <v>5334</v>
      </c>
    </row>
    <row r="106" spans="4:10">
      <c r="D106" s="18">
        <v>-200000</v>
      </c>
      <c r="E106" s="254" t="s">
        <v>5358</v>
      </c>
    </row>
    <row r="107" spans="4:10">
      <c r="D107" s="18">
        <v>-1600000</v>
      </c>
      <c r="E107" s="254" t="s">
        <v>5360</v>
      </c>
      <c r="G107" t="s">
        <v>25</v>
      </c>
    </row>
    <row r="108" spans="4:10">
      <c r="D108" s="18">
        <v>1600000</v>
      </c>
      <c r="E108" s="254" t="s">
        <v>5368</v>
      </c>
    </row>
    <row r="109" spans="4:10">
      <c r="D109" s="18">
        <v>-550000</v>
      </c>
      <c r="E109" s="254" t="s">
        <v>5371</v>
      </c>
    </row>
    <row r="110" spans="4:10">
      <c r="D110" s="18">
        <v>-15000</v>
      </c>
      <c r="E110" s="254" t="s">
        <v>5376</v>
      </c>
    </row>
    <row r="111" spans="4:10">
      <c r="D111" s="18">
        <v>-325000</v>
      </c>
      <c r="E111" s="254" t="s">
        <v>5395</v>
      </c>
    </row>
    <row r="112" spans="4:10">
      <c r="D112" s="18">
        <v>-130000</v>
      </c>
      <c r="E112" s="254" t="s">
        <v>5396</v>
      </c>
    </row>
    <row r="113" spans="4:10">
      <c r="D113" s="18">
        <v>-250000</v>
      </c>
      <c r="E113" s="254" t="s">
        <v>5406</v>
      </c>
      <c r="J113" t="s">
        <v>25</v>
      </c>
    </row>
    <row r="114" spans="4:10">
      <c r="D114" s="18">
        <v>-750000</v>
      </c>
      <c r="E114" s="254" t="s">
        <v>5409</v>
      </c>
    </row>
    <row r="115" spans="4:10">
      <c r="D115" s="18">
        <v>250000</v>
      </c>
      <c r="E115" s="254" t="s">
        <v>5419</v>
      </c>
    </row>
    <row r="116" spans="4:10">
      <c r="D116" s="18">
        <v>-2100000</v>
      </c>
      <c r="E116" s="254" t="s">
        <v>5434</v>
      </c>
    </row>
    <row r="117" spans="4:10">
      <c r="D117" s="18">
        <v>-1000000</v>
      </c>
      <c r="E117" s="254" t="s">
        <v>5451</v>
      </c>
    </row>
    <row r="118" spans="4:10">
      <c r="D118" s="18">
        <v>-100000</v>
      </c>
      <c r="E118" s="254" t="s">
        <v>5452</v>
      </c>
    </row>
    <row r="119" spans="4:10">
      <c r="D119" s="18">
        <v>-550000</v>
      </c>
      <c r="E119" s="254" t="s">
        <v>5483</v>
      </c>
    </row>
    <row r="120" spans="4:10">
      <c r="D120" s="18">
        <v>-550000</v>
      </c>
      <c r="E120" s="254" t="s">
        <v>5484</v>
      </c>
    </row>
    <row r="121" spans="4:10">
      <c r="D121" s="18">
        <v>-390000</v>
      </c>
      <c r="E121" s="254" t="s">
        <v>5535</v>
      </c>
      <c r="H121" t="s">
        <v>25</v>
      </c>
      <c r="J121" t="s">
        <v>25</v>
      </c>
    </row>
    <row r="122" spans="4:10">
      <c r="D122" s="18">
        <v>2432520</v>
      </c>
      <c r="E122" s="254" t="s">
        <v>5536</v>
      </c>
    </row>
    <row r="123" spans="4:10">
      <c r="D123" s="18"/>
      <c r="E123" s="254"/>
    </row>
    <row r="124" spans="4:10">
      <c r="D124" s="18"/>
      <c r="E124" s="96"/>
    </row>
    <row r="125" spans="4:10">
      <c r="D125" s="18"/>
      <c r="E125" s="96" t="s">
        <v>25</v>
      </c>
    </row>
    <row r="126" spans="4:10">
      <c r="D126" s="18">
        <f>SUM(D40:D125)</f>
        <v>22303979</v>
      </c>
      <c r="E126" s="96" t="s">
        <v>6</v>
      </c>
    </row>
    <row r="127" spans="4:10">
      <c r="D127" s="96"/>
      <c r="E127" s="96"/>
    </row>
    <row r="128" spans="4:10">
      <c r="D128" s="96"/>
      <c r="E128" s="96"/>
    </row>
    <row r="131" spans="5:5">
      <c r="E131" t="s">
        <v>25</v>
      </c>
    </row>
    <row r="132" spans="5:5">
      <c r="E132" t="s">
        <v>25</v>
      </c>
    </row>
    <row r="133" spans="5:5">
      <c r="E13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4598</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4603</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4603</v>
      </c>
      <c r="B29" s="18">
        <v>-77315</v>
      </c>
      <c r="C29" s="18">
        <v>0</v>
      </c>
      <c r="D29" s="113">
        <f t="shared" si="0"/>
        <v>-77315</v>
      </c>
      <c r="E29" s="19" t="s">
        <v>4605</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4607</v>
      </c>
      <c r="B30" s="18">
        <v>-66850</v>
      </c>
      <c r="C30" s="18">
        <v>0</v>
      </c>
      <c r="D30" s="113">
        <f t="shared" si="0"/>
        <v>-66850</v>
      </c>
      <c r="E30" s="19" t="s">
        <v>4610</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4607</v>
      </c>
      <c r="B31" s="168">
        <v>-30000</v>
      </c>
      <c r="C31" s="168">
        <v>0</v>
      </c>
      <c r="D31" s="168">
        <f t="shared" ref="D31" si="4">B31-C31</f>
        <v>-30000</v>
      </c>
      <c r="E31" s="168" t="s">
        <v>4609</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4599</v>
      </c>
      <c r="F47" s="96" t="s">
        <v>25</v>
      </c>
      <c r="G47" s="96"/>
      <c r="H47" s="96"/>
      <c r="I47" s="96"/>
      <c r="J47" s="96"/>
      <c r="K47" s="96"/>
      <c r="L47" s="96"/>
      <c r="M47" s="96"/>
      <c r="N47" s="96"/>
      <c r="O47" s="96"/>
      <c r="P47" s="96"/>
      <c r="Q47" s="96"/>
      <c r="R47" s="96"/>
      <c r="S47" s="96"/>
    </row>
    <row r="48" spans="1:19">
      <c r="A48" s="96"/>
      <c r="B48" s="96"/>
      <c r="C48" s="96"/>
      <c r="D48" s="18">
        <v>49315</v>
      </c>
      <c r="E48" s="122" t="s">
        <v>4606</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4607</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4613</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4613</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4626</v>
      </c>
      <c r="B5" s="18">
        <v>-200000</v>
      </c>
      <c r="C5" s="18">
        <v>0</v>
      </c>
      <c r="D5" s="113">
        <f t="shared" si="0"/>
        <v>-200000</v>
      </c>
      <c r="E5" s="20" t="s">
        <v>4623</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4636</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4638</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4638</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4638</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4638</v>
      </c>
      <c r="B10" s="18">
        <v>-51400</v>
      </c>
      <c r="C10" s="18">
        <v>0</v>
      </c>
      <c r="D10" s="113">
        <f t="shared" si="0"/>
        <v>-51400</v>
      </c>
      <c r="E10" s="19" t="s">
        <v>4644</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4647</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4647</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4660</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4660</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4660</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4663</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4671</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4677</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4677</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4686</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4679</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4680</v>
      </c>
      <c r="B22" s="18">
        <v>-324747</v>
      </c>
      <c r="C22" s="18">
        <v>0</v>
      </c>
      <c r="D22" s="113">
        <f t="shared" si="0"/>
        <v>-324747</v>
      </c>
      <c r="E22" s="19" t="s">
        <v>4687</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4694</v>
      </c>
      <c r="B23" s="18">
        <v>-297992</v>
      </c>
      <c r="C23" s="18">
        <v>0</v>
      </c>
      <c r="D23" s="113">
        <f t="shared" si="0"/>
        <v>-297992</v>
      </c>
      <c r="E23" s="19" t="s">
        <v>4695</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4703</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4598</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4603</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4603</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4607</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4607</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4619</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4620</v>
      </c>
      <c r="F40" s="96"/>
      <c r="G40" s="96"/>
      <c r="H40" s="96"/>
      <c r="I40" s="96"/>
      <c r="J40" s="96"/>
      <c r="K40" s="96"/>
      <c r="L40" s="96"/>
      <c r="M40" s="96"/>
      <c r="N40" s="96"/>
      <c r="O40" s="96"/>
      <c r="P40" s="96"/>
      <c r="Q40" s="96"/>
      <c r="R40" s="96"/>
      <c r="S40" s="96"/>
    </row>
    <row r="41" spans="1:19">
      <c r="A41" s="96"/>
      <c r="B41" s="96"/>
      <c r="C41" s="96"/>
      <c r="D41" s="18">
        <v>47848</v>
      </c>
      <c r="E41" s="122" t="s">
        <v>4624</v>
      </c>
      <c r="F41" s="96"/>
      <c r="G41" s="96"/>
      <c r="H41" s="96"/>
      <c r="I41" s="96"/>
      <c r="J41" s="96"/>
      <c r="K41" s="96"/>
      <c r="L41" s="96"/>
      <c r="M41" s="96"/>
      <c r="N41" s="96"/>
      <c r="O41" s="96"/>
      <c r="P41" s="96"/>
      <c r="Q41" s="96"/>
      <c r="R41" s="96"/>
      <c r="S41" s="96"/>
    </row>
    <row r="42" spans="1:19">
      <c r="A42" s="96"/>
      <c r="B42" s="96"/>
      <c r="C42" s="96"/>
      <c r="D42" s="18">
        <v>200000</v>
      </c>
      <c r="E42" s="122" t="s">
        <v>4625</v>
      </c>
      <c r="F42" s="96"/>
      <c r="G42" s="96"/>
      <c r="H42" s="96"/>
      <c r="I42" s="96"/>
      <c r="J42" s="96"/>
      <c r="K42" s="96"/>
      <c r="L42" s="96"/>
      <c r="M42" s="96"/>
      <c r="N42" s="96"/>
      <c r="O42" s="96"/>
      <c r="P42" s="96"/>
      <c r="Q42" s="96"/>
      <c r="R42" s="96"/>
      <c r="S42" s="96"/>
    </row>
    <row r="43" spans="1:19">
      <c r="A43" s="96"/>
      <c r="B43" s="96"/>
      <c r="C43" s="96"/>
      <c r="D43" s="18">
        <v>60460</v>
      </c>
      <c r="E43" s="122" t="s">
        <v>4640</v>
      </c>
      <c r="F43" s="96"/>
      <c r="G43" s="96"/>
      <c r="H43" s="96"/>
      <c r="I43" s="96"/>
      <c r="J43" s="96"/>
      <c r="K43" s="96"/>
      <c r="L43" s="96"/>
      <c r="M43" s="96"/>
      <c r="N43" s="96"/>
      <c r="O43" s="96"/>
      <c r="P43" s="96"/>
      <c r="Q43" s="96"/>
      <c r="R43" s="96"/>
      <c r="S43" s="96"/>
    </row>
    <row r="44" spans="1:19">
      <c r="A44" s="96"/>
      <c r="B44" s="96"/>
      <c r="C44" s="96"/>
      <c r="D44" s="18">
        <v>-2400000</v>
      </c>
      <c r="E44" s="122" t="s">
        <v>4641</v>
      </c>
      <c r="F44" s="96"/>
      <c r="G44" s="96"/>
      <c r="H44" s="96"/>
      <c r="I44" s="96"/>
      <c r="J44" s="96"/>
      <c r="K44" s="96"/>
      <c r="L44" s="96"/>
      <c r="M44" s="96"/>
      <c r="N44" s="96"/>
      <c r="O44" s="96"/>
      <c r="P44" s="96"/>
      <c r="Q44" s="96"/>
      <c r="R44" s="96"/>
      <c r="S44" s="96"/>
    </row>
    <row r="45" spans="1:19">
      <c r="A45" s="96"/>
      <c r="B45" s="96"/>
      <c r="C45" s="96"/>
      <c r="D45" s="18">
        <v>135487</v>
      </c>
      <c r="E45" s="122" t="s">
        <v>4642</v>
      </c>
      <c r="F45" s="96"/>
      <c r="G45" s="96" t="s">
        <v>25</v>
      </c>
      <c r="H45" s="96"/>
      <c r="I45" s="96"/>
      <c r="J45" s="96"/>
      <c r="K45" s="96"/>
      <c r="L45" s="96"/>
      <c r="M45" s="96"/>
      <c r="N45" s="96"/>
      <c r="O45" s="96"/>
      <c r="P45" s="96"/>
      <c r="Q45" s="96"/>
      <c r="R45" s="96"/>
      <c r="S45" s="96"/>
    </row>
    <row r="46" spans="1:19">
      <c r="A46" s="96"/>
      <c r="B46" s="96"/>
      <c r="C46" s="96"/>
      <c r="D46" s="18">
        <v>347153</v>
      </c>
      <c r="E46" s="122" t="s">
        <v>4643</v>
      </c>
      <c r="F46" s="96"/>
      <c r="G46" s="96" t="s">
        <v>25</v>
      </c>
      <c r="H46" s="96"/>
      <c r="I46" s="96"/>
      <c r="J46" s="96"/>
      <c r="K46" s="96"/>
      <c r="L46" s="96"/>
      <c r="M46" s="96"/>
      <c r="N46" s="96"/>
      <c r="O46" s="96"/>
      <c r="P46" s="96"/>
      <c r="Q46" s="96"/>
      <c r="R46" s="96"/>
      <c r="S46" s="96"/>
    </row>
    <row r="47" spans="1:19">
      <c r="A47" s="96"/>
      <c r="B47" s="96"/>
      <c r="C47" s="96"/>
      <c r="D47" s="18">
        <v>51400</v>
      </c>
      <c r="E47" s="122" t="s">
        <v>4644</v>
      </c>
      <c r="F47" s="96" t="s">
        <v>25</v>
      </c>
      <c r="G47" s="96"/>
      <c r="H47" s="96"/>
      <c r="I47" s="96"/>
      <c r="J47" s="96"/>
      <c r="K47" s="96"/>
      <c r="L47" s="96"/>
      <c r="M47" s="96"/>
      <c r="N47" s="96"/>
      <c r="O47" s="96"/>
      <c r="P47" s="96"/>
      <c r="Q47" s="96"/>
      <c r="R47" s="96"/>
      <c r="S47" s="96"/>
    </row>
    <row r="48" spans="1:19">
      <c r="A48" s="96"/>
      <c r="B48" s="96"/>
      <c r="C48" s="96"/>
      <c r="D48" s="18">
        <v>-200000</v>
      </c>
      <c r="E48" s="122" t="s">
        <v>4648</v>
      </c>
      <c r="F48" s="96"/>
      <c r="G48" s="96"/>
      <c r="H48" s="96"/>
      <c r="I48" s="96"/>
      <c r="J48" s="96"/>
      <c r="K48" s="96"/>
      <c r="L48" s="96"/>
      <c r="M48" s="96"/>
      <c r="N48" s="96"/>
      <c r="O48" s="96"/>
      <c r="P48" s="96"/>
      <c r="Q48" s="96"/>
      <c r="R48" s="96"/>
      <c r="S48" s="96"/>
    </row>
    <row r="49" spans="1:19">
      <c r="A49" s="96"/>
      <c r="B49" s="96"/>
      <c r="C49" s="96"/>
      <c r="D49" s="18">
        <v>-400000</v>
      </c>
      <c r="E49" s="122" t="s">
        <v>4654</v>
      </c>
      <c r="F49" s="96"/>
      <c r="G49" s="96"/>
      <c r="H49" s="96" t="s">
        <v>25</v>
      </c>
      <c r="I49" s="96"/>
      <c r="J49" s="96"/>
      <c r="K49" s="96"/>
      <c r="L49" s="96"/>
      <c r="M49" s="96"/>
      <c r="N49" s="96"/>
      <c r="O49" s="96"/>
      <c r="P49" s="96"/>
      <c r="Q49" s="96"/>
      <c r="R49" s="96"/>
      <c r="S49" s="96"/>
    </row>
    <row r="50" spans="1:19">
      <c r="A50" s="96"/>
      <c r="B50" s="96"/>
      <c r="C50" s="96"/>
      <c r="D50" s="18">
        <v>-200000</v>
      </c>
      <c r="E50" s="122" t="s">
        <v>4655</v>
      </c>
      <c r="F50" s="96"/>
      <c r="G50" s="96"/>
      <c r="H50" s="96"/>
      <c r="I50" s="96"/>
      <c r="J50" s="96"/>
      <c r="K50" s="96"/>
      <c r="L50" s="96"/>
      <c r="M50" s="96"/>
      <c r="N50" s="96"/>
      <c r="O50" s="96"/>
      <c r="P50" s="96"/>
      <c r="Q50" s="96"/>
      <c r="R50" s="96"/>
      <c r="S50" s="96"/>
    </row>
    <row r="51" spans="1:19">
      <c r="A51" s="96"/>
      <c r="B51" s="96"/>
      <c r="C51" s="96"/>
      <c r="D51" s="18">
        <v>276773</v>
      </c>
      <c r="E51" s="122" t="s">
        <v>4661</v>
      </c>
      <c r="F51" s="96"/>
      <c r="G51" s="96"/>
      <c r="H51" s="96"/>
      <c r="I51" s="96"/>
      <c r="J51" s="96"/>
      <c r="K51" s="96"/>
      <c r="L51" s="96"/>
      <c r="M51" s="96"/>
      <c r="N51" s="96"/>
      <c r="O51" s="96"/>
      <c r="P51" s="96"/>
      <c r="Q51" s="96"/>
      <c r="R51" s="96"/>
      <c r="S51" s="96"/>
    </row>
    <row r="52" spans="1:19">
      <c r="A52" s="96"/>
      <c r="B52" s="96"/>
      <c r="C52" s="96"/>
      <c r="D52" s="18">
        <v>114710</v>
      </c>
      <c r="E52" s="122" t="s">
        <v>4664</v>
      </c>
      <c r="F52" s="114" t="s">
        <v>25</v>
      </c>
      <c r="G52" s="41" t="s">
        <v>25</v>
      </c>
      <c r="H52" s="96"/>
      <c r="I52" s="96"/>
      <c r="J52" s="96"/>
      <c r="K52" s="96"/>
      <c r="L52" s="96"/>
      <c r="M52" s="96"/>
      <c r="N52" s="96"/>
      <c r="O52" s="96"/>
      <c r="P52" s="96"/>
      <c r="Q52" s="96"/>
      <c r="R52" s="96"/>
      <c r="S52" s="96"/>
    </row>
    <row r="53" spans="1:19">
      <c r="A53" s="96"/>
      <c r="B53" s="96"/>
      <c r="C53" s="96"/>
      <c r="D53" s="18">
        <v>55120</v>
      </c>
      <c r="E53" s="122" t="s">
        <v>4678</v>
      </c>
      <c r="F53" s="114"/>
      <c r="G53" s="41"/>
      <c r="H53" s="96"/>
      <c r="I53" s="96"/>
      <c r="J53" s="96"/>
      <c r="K53" s="96"/>
      <c r="L53" s="96"/>
      <c r="M53" s="96"/>
      <c r="N53" s="96"/>
      <c r="O53" s="96"/>
      <c r="P53" s="96"/>
      <c r="Q53" s="96"/>
      <c r="R53" s="96"/>
      <c r="S53" s="96"/>
    </row>
    <row r="54" spans="1:19">
      <c r="A54" s="96"/>
      <c r="B54" s="96"/>
      <c r="C54" s="96"/>
      <c r="D54" s="18">
        <v>115000</v>
      </c>
      <c r="E54" s="122" t="s">
        <v>4683</v>
      </c>
      <c r="F54" s="114"/>
      <c r="G54" s="41"/>
      <c r="H54" s="96"/>
      <c r="I54" s="96"/>
      <c r="J54" s="96"/>
      <c r="K54" s="96"/>
      <c r="L54" s="96"/>
      <c r="M54" s="96"/>
      <c r="N54" s="96"/>
      <c r="O54" s="96"/>
      <c r="P54" s="96"/>
      <c r="Q54" s="96"/>
      <c r="R54" s="96"/>
      <c r="S54" s="96"/>
    </row>
    <row r="55" spans="1:19">
      <c r="A55" s="96"/>
      <c r="B55" s="96"/>
      <c r="C55" s="96"/>
      <c r="D55" s="18">
        <v>247560</v>
      </c>
      <c r="E55" s="122" t="s">
        <v>4684</v>
      </c>
      <c r="F55" s="114"/>
      <c r="G55" s="41"/>
      <c r="H55" s="96"/>
      <c r="I55" s="96"/>
      <c r="J55" s="96"/>
      <c r="K55" s="96"/>
      <c r="L55" s="96"/>
      <c r="M55" s="96"/>
      <c r="N55" s="96"/>
      <c r="O55" s="96"/>
      <c r="P55" s="96"/>
      <c r="Q55" s="96"/>
      <c r="R55" s="96"/>
      <c r="S55" s="96"/>
    </row>
    <row r="56" spans="1:19">
      <c r="A56" s="96"/>
      <c r="B56" s="96"/>
      <c r="C56" s="96"/>
      <c r="D56" s="18">
        <v>77187</v>
      </c>
      <c r="E56" s="122" t="s">
        <v>4685</v>
      </c>
      <c r="F56" s="96"/>
      <c r="G56" s="96"/>
      <c r="H56" s="96" t="s">
        <v>25</v>
      </c>
      <c r="I56" s="96"/>
      <c r="J56" s="96"/>
      <c r="K56" s="96"/>
      <c r="L56" s="96"/>
      <c r="M56" s="96"/>
      <c r="N56" s="96"/>
      <c r="O56" s="96"/>
      <c r="P56" s="96"/>
      <c r="Q56" s="96"/>
      <c r="R56" s="96"/>
      <c r="S56" s="96"/>
    </row>
    <row r="57" spans="1:19">
      <c r="A57" s="96"/>
      <c r="B57" s="96"/>
      <c r="C57" s="96"/>
      <c r="D57" s="18">
        <v>-140000</v>
      </c>
      <c r="E57" s="122" t="s">
        <v>4688</v>
      </c>
      <c r="F57" s="96"/>
      <c r="G57" s="96"/>
      <c r="H57" s="96"/>
      <c r="I57" s="96"/>
      <c r="J57" s="96"/>
      <c r="K57" s="96"/>
      <c r="L57" s="96"/>
      <c r="M57" s="96"/>
      <c r="N57" s="96"/>
      <c r="O57" s="96"/>
      <c r="P57" s="96"/>
      <c r="Q57" s="96"/>
      <c r="R57" s="96"/>
      <c r="S57" s="96"/>
    </row>
    <row r="58" spans="1:19">
      <c r="A58" s="96"/>
      <c r="B58" s="96"/>
      <c r="C58" s="96"/>
      <c r="D58" s="18">
        <v>-1600000</v>
      </c>
      <c r="E58" s="122" t="s">
        <v>4689</v>
      </c>
      <c r="F58" s="96"/>
      <c r="G58" s="96"/>
      <c r="H58" s="96"/>
      <c r="I58" s="96"/>
      <c r="J58" s="96"/>
      <c r="K58" s="96"/>
      <c r="L58" s="96"/>
      <c r="M58" s="96"/>
      <c r="N58" s="96"/>
      <c r="O58" s="96"/>
      <c r="P58" s="96"/>
      <c r="Q58" s="96"/>
      <c r="R58" s="96"/>
      <c r="S58" s="96"/>
    </row>
    <row r="59" spans="1:19">
      <c r="A59" s="96"/>
      <c r="B59" s="96"/>
      <c r="C59" s="96"/>
      <c r="D59" s="18">
        <v>-2000</v>
      </c>
      <c r="E59" s="122" t="s">
        <v>4696</v>
      </c>
      <c r="F59" s="96"/>
      <c r="G59" s="96"/>
      <c r="H59" s="96"/>
      <c r="I59" s="96"/>
      <c r="J59" s="96"/>
      <c r="K59" s="96"/>
      <c r="L59" s="96"/>
      <c r="M59" s="96"/>
      <c r="N59" s="96"/>
      <c r="O59" s="96"/>
      <c r="P59" s="96"/>
      <c r="Q59" s="96"/>
      <c r="R59" s="96"/>
      <c r="S59" s="96"/>
    </row>
    <row r="60" spans="1:19">
      <c r="A60" s="96"/>
      <c r="B60" s="96"/>
      <c r="C60" s="96"/>
      <c r="D60" s="18">
        <v>40000</v>
      </c>
      <c r="E60" s="122" t="s">
        <v>4709</v>
      </c>
      <c r="F60" s="96"/>
      <c r="G60" s="96"/>
      <c r="H60" s="96"/>
      <c r="I60" s="96"/>
      <c r="J60" s="96"/>
      <c r="K60" s="96"/>
      <c r="L60" s="96"/>
      <c r="M60" s="96"/>
      <c r="N60" s="96"/>
      <c r="O60" s="96"/>
      <c r="P60" s="96"/>
      <c r="Q60" s="96"/>
      <c r="R60" s="96"/>
      <c r="S60" s="96"/>
    </row>
    <row r="61" spans="1:19">
      <c r="A61" s="96"/>
      <c r="B61" s="96"/>
      <c r="C61" s="96"/>
      <c r="D61" s="18">
        <v>-146877</v>
      </c>
      <c r="E61" s="122" t="s">
        <v>4710</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4598</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4603</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4603</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4607</v>
      </c>
      <c r="B293" s="18">
        <v>-96850</v>
      </c>
      <c r="C293" s="18">
        <v>0</v>
      </c>
      <c r="D293" s="18">
        <f t="shared" si="18"/>
        <v>-96850</v>
      </c>
      <c r="E293" s="99" t="s">
        <v>4611</v>
      </c>
      <c r="F293" s="99">
        <v>2</v>
      </c>
      <c r="G293" s="36">
        <f t="shared" si="21"/>
        <v>67</v>
      </c>
      <c r="H293" s="99">
        <f t="shared" si="15"/>
        <v>0</v>
      </c>
      <c r="I293" s="99">
        <f t="shared" si="13"/>
        <v>-6488950</v>
      </c>
      <c r="J293" s="99">
        <f t="shared" si="22"/>
        <v>0</v>
      </c>
      <c r="K293" s="99">
        <f t="shared" si="23"/>
        <v>-6488950</v>
      </c>
    </row>
    <row r="294" spans="1:13">
      <c r="A294" s="99" t="s">
        <v>4613</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4613</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4626</v>
      </c>
      <c r="B296" s="18">
        <v>-200000</v>
      </c>
      <c r="C296" s="18">
        <v>0</v>
      </c>
      <c r="D296" s="18">
        <f t="shared" si="18"/>
        <v>-200000</v>
      </c>
      <c r="E296" s="99" t="s">
        <v>4627</v>
      </c>
      <c r="F296" s="99">
        <v>3</v>
      </c>
      <c r="G296" s="36">
        <f t="shared" si="21"/>
        <v>64</v>
      </c>
      <c r="H296" s="99">
        <f t="shared" si="15"/>
        <v>0</v>
      </c>
      <c r="I296" s="99">
        <f t="shared" si="13"/>
        <v>-12800000</v>
      </c>
      <c r="J296" s="99">
        <f t="shared" si="22"/>
        <v>0</v>
      </c>
      <c r="K296" s="99">
        <f t="shared" si="23"/>
        <v>-12800000</v>
      </c>
    </row>
    <row r="297" spans="1:13">
      <c r="A297" s="99" t="s">
        <v>4636</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4638</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4638</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4638</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4638</v>
      </c>
      <c r="B301" s="18">
        <v>-51400</v>
      </c>
      <c r="C301" s="18">
        <v>0</v>
      </c>
      <c r="D301" s="18">
        <f t="shared" si="18"/>
        <v>-51400</v>
      </c>
      <c r="E301" s="99" t="s">
        <v>4644</v>
      </c>
      <c r="F301" s="99">
        <v>1</v>
      </c>
      <c r="G301" s="36">
        <f t="shared" si="27"/>
        <v>60</v>
      </c>
      <c r="H301" s="99">
        <f t="shared" si="15"/>
        <v>0</v>
      </c>
      <c r="I301" s="99">
        <f t="shared" si="24"/>
        <v>-3084000</v>
      </c>
      <c r="J301" s="99">
        <f t="shared" si="25"/>
        <v>0</v>
      </c>
      <c r="K301" s="99">
        <f t="shared" si="26"/>
        <v>-3084000</v>
      </c>
    </row>
    <row r="302" spans="1:13">
      <c r="A302" s="99" t="s">
        <v>4647</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4647</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4660</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4660</v>
      </c>
      <c r="B305" s="18">
        <v>-276773</v>
      </c>
      <c r="C305" s="18">
        <v>0</v>
      </c>
      <c r="D305" s="18">
        <f t="shared" si="18"/>
        <v>-276773</v>
      </c>
      <c r="E305" s="99" t="s">
        <v>4662</v>
      </c>
      <c r="F305" s="99">
        <v>2</v>
      </c>
      <c r="G305" s="36">
        <f t="shared" si="27"/>
        <v>57</v>
      </c>
      <c r="H305" s="99">
        <f t="shared" si="15"/>
        <v>0</v>
      </c>
      <c r="I305" s="99">
        <f t="shared" si="24"/>
        <v>-15776061</v>
      </c>
      <c r="J305" s="99">
        <f t="shared" si="25"/>
        <v>0</v>
      </c>
      <c r="K305" s="99">
        <f t="shared" si="26"/>
        <v>-15776061</v>
      </c>
    </row>
    <row r="306" spans="1:13">
      <c r="A306" s="99" t="s">
        <v>4663</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4671</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4677</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4677</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4686</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4679</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4680</v>
      </c>
      <c r="B312" s="18">
        <v>-324747</v>
      </c>
      <c r="C312" s="18">
        <v>0</v>
      </c>
      <c r="D312" s="18">
        <f t="shared" si="18"/>
        <v>-324747</v>
      </c>
      <c r="E312" s="99" t="s">
        <v>4687</v>
      </c>
      <c r="F312" s="99">
        <v>3</v>
      </c>
      <c r="G312" s="36">
        <f t="shared" si="28"/>
        <v>44</v>
      </c>
      <c r="H312" s="99">
        <f t="shared" si="29"/>
        <v>0</v>
      </c>
      <c r="I312" s="99">
        <f t="shared" si="30"/>
        <v>-14288868</v>
      </c>
      <c r="J312" s="99">
        <f t="shared" si="31"/>
        <v>0</v>
      </c>
      <c r="K312" s="99">
        <f t="shared" si="32"/>
        <v>-14288868</v>
      </c>
      <c r="M312" t="s">
        <v>25</v>
      </c>
    </row>
    <row r="313" spans="1:13">
      <c r="A313" s="99" t="s">
        <v>4694</v>
      </c>
      <c r="B313" s="18">
        <v>-297992</v>
      </c>
      <c r="C313" s="18">
        <v>0</v>
      </c>
      <c r="D313" s="18">
        <f t="shared" si="18"/>
        <v>-297992</v>
      </c>
      <c r="E313" s="99" t="s">
        <v>4695</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4703</v>
      </c>
      <c r="B315" s="18">
        <v>-40000</v>
      </c>
      <c r="C315" s="18">
        <v>0</v>
      </c>
      <c r="D315" s="18">
        <f t="shared" si="18"/>
        <v>-40000</v>
      </c>
      <c r="E315" s="99" t="s">
        <v>4711</v>
      </c>
      <c r="F315" s="99">
        <v>4</v>
      </c>
      <c r="G315" s="36">
        <f t="shared" si="28"/>
        <v>38</v>
      </c>
      <c r="H315" s="99">
        <f t="shared" si="29"/>
        <v>0</v>
      </c>
      <c r="I315" s="99">
        <f t="shared" si="30"/>
        <v>-1520000</v>
      </c>
      <c r="J315" s="99">
        <f t="shared" si="31"/>
        <v>0</v>
      </c>
      <c r="K315" s="99">
        <f t="shared" si="32"/>
        <v>-1520000</v>
      </c>
    </row>
    <row r="316" spans="1:13">
      <c r="A316" s="99" t="s">
        <v>4716</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4734</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4742</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4742</v>
      </c>
      <c r="B319" s="18">
        <v>-1866154</v>
      </c>
      <c r="C319" s="18">
        <v>0</v>
      </c>
      <c r="D319" s="18">
        <f t="shared" si="18"/>
        <v>-1866154</v>
      </c>
      <c r="E319" s="19" t="s">
        <v>4748</v>
      </c>
      <c r="F319" s="99">
        <v>0</v>
      </c>
      <c r="G319" s="36">
        <f t="shared" si="28"/>
        <v>29</v>
      </c>
      <c r="H319" s="99">
        <f t="shared" si="29"/>
        <v>0</v>
      </c>
      <c r="I319" s="99">
        <f t="shared" si="30"/>
        <v>-54118466</v>
      </c>
      <c r="J319" s="99">
        <f t="shared" si="31"/>
        <v>0</v>
      </c>
      <c r="K319" s="99">
        <f t="shared" si="32"/>
        <v>-54118466</v>
      </c>
    </row>
    <row r="320" spans="1:13">
      <c r="A320" s="11" t="s">
        <v>4742</v>
      </c>
      <c r="B320" s="18">
        <v>-36600</v>
      </c>
      <c r="C320" s="18">
        <v>0</v>
      </c>
      <c r="D320" s="18">
        <f t="shared" si="18"/>
        <v>-36600</v>
      </c>
      <c r="E320" s="99" t="s">
        <v>4749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4750</v>
      </c>
      <c r="B321" s="18">
        <v>-492000</v>
      </c>
      <c r="C321" s="18">
        <v>0</v>
      </c>
      <c r="D321" s="18">
        <f t="shared" si="18"/>
        <v>-492000</v>
      </c>
      <c r="E321" s="99" t="s">
        <v>4751</v>
      </c>
      <c r="F321" s="99">
        <v>0</v>
      </c>
      <c r="G321" s="36">
        <f t="shared" si="33"/>
        <v>28</v>
      </c>
      <c r="H321" s="99">
        <f t="shared" si="34"/>
        <v>0</v>
      </c>
      <c r="I321" s="99">
        <f t="shared" si="35"/>
        <v>-13776000</v>
      </c>
      <c r="J321" s="99">
        <f t="shared" si="36"/>
        <v>0</v>
      </c>
      <c r="K321" s="99">
        <f t="shared" si="37"/>
        <v>-13776000</v>
      </c>
      <c r="M321" t="s">
        <v>25</v>
      </c>
    </row>
    <row r="322" spans="1:14">
      <c r="A322" s="99" t="s">
        <v>4750</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4750</v>
      </c>
      <c r="B323" s="18">
        <v>-40000</v>
      </c>
      <c r="C323" s="18">
        <v>0</v>
      </c>
      <c r="D323" s="18">
        <f t="shared" si="18"/>
        <v>-40000</v>
      </c>
      <c r="E323" s="99" t="s">
        <v>4753</v>
      </c>
      <c r="F323" s="99">
        <v>1</v>
      </c>
      <c r="G323" s="36">
        <f t="shared" si="33"/>
        <v>28</v>
      </c>
      <c r="H323" s="99">
        <f t="shared" si="34"/>
        <v>0</v>
      </c>
      <c r="I323" s="99">
        <f t="shared" si="35"/>
        <v>-1120000</v>
      </c>
      <c r="J323" s="99">
        <f t="shared" si="36"/>
        <v>0</v>
      </c>
      <c r="K323" s="99">
        <f t="shared" si="37"/>
        <v>-1120000</v>
      </c>
    </row>
    <row r="324" spans="1:14">
      <c r="A324" s="99" t="s">
        <v>4754</v>
      </c>
      <c r="B324" s="18">
        <v>-66000</v>
      </c>
      <c r="C324" s="18">
        <v>0</v>
      </c>
      <c r="D324" s="18">
        <f t="shared" si="18"/>
        <v>-66000</v>
      </c>
      <c r="E324" s="99" t="s">
        <v>4753</v>
      </c>
      <c r="F324" s="99">
        <v>1</v>
      </c>
      <c r="G324" s="36">
        <f t="shared" si="33"/>
        <v>27</v>
      </c>
      <c r="H324" s="99">
        <f t="shared" si="34"/>
        <v>0</v>
      </c>
      <c r="I324" s="99">
        <f t="shared" si="35"/>
        <v>-1782000</v>
      </c>
      <c r="J324" s="99">
        <f t="shared" si="36"/>
        <v>0</v>
      </c>
      <c r="K324" s="99">
        <f t="shared" si="37"/>
        <v>-1782000</v>
      </c>
    </row>
    <row r="325" spans="1:14">
      <c r="A325" s="99" t="s">
        <v>4755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4755</v>
      </c>
      <c r="B326" s="18">
        <v>-200500</v>
      </c>
      <c r="C326" s="18">
        <v>0</v>
      </c>
      <c r="D326" s="18">
        <f t="shared" si="18"/>
        <v>-200500</v>
      </c>
      <c r="E326" s="99" t="s">
        <v>4756</v>
      </c>
      <c r="F326" s="99">
        <v>2</v>
      </c>
      <c r="G326" s="36">
        <f t="shared" si="33"/>
        <v>26</v>
      </c>
      <c r="H326" s="99">
        <f t="shared" si="34"/>
        <v>0</v>
      </c>
      <c r="I326" s="99">
        <f t="shared" si="35"/>
        <v>-5213000</v>
      </c>
      <c r="J326" s="99">
        <f t="shared" si="36"/>
        <v>0</v>
      </c>
      <c r="K326" s="99">
        <f t="shared" si="37"/>
        <v>-5213000</v>
      </c>
      <c r="M326" t="s">
        <v>25</v>
      </c>
    </row>
    <row r="327" spans="1:14">
      <c r="A327" s="99" t="s">
        <v>4760</v>
      </c>
      <c r="B327" s="18">
        <v>1563000</v>
      </c>
      <c r="C327" s="18">
        <v>0</v>
      </c>
      <c r="D327" s="18">
        <f t="shared" si="18"/>
        <v>1563000</v>
      </c>
      <c r="E327" s="99" t="s">
        <v>4763</v>
      </c>
      <c r="F327" s="99">
        <v>0</v>
      </c>
      <c r="G327" s="36">
        <f t="shared" si="33"/>
        <v>24</v>
      </c>
      <c r="H327" s="99">
        <f t="shared" si="34"/>
        <v>1</v>
      </c>
      <c r="I327" s="99">
        <f t="shared" si="35"/>
        <v>35949000</v>
      </c>
      <c r="J327" s="99">
        <f t="shared" si="36"/>
        <v>0</v>
      </c>
      <c r="K327" s="99">
        <f t="shared" si="37"/>
        <v>35949000</v>
      </c>
    </row>
    <row r="328" spans="1:14">
      <c r="A328" s="99" t="s">
        <v>4760</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4771</v>
      </c>
      <c r="B329" s="18">
        <v>-20000</v>
      </c>
      <c r="C329" s="18">
        <v>0</v>
      </c>
      <c r="D329" s="18">
        <f t="shared" si="18"/>
        <v>-20000</v>
      </c>
      <c r="E329" s="99" t="s">
        <v>4775</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4785</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4790</v>
      </c>
      <c r="F331" s="99">
        <v>2</v>
      </c>
      <c r="G331" s="36">
        <f t="shared" si="33"/>
        <v>19</v>
      </c>
      <c r="H331" s="99">
        <f t="shared" si="34"/>
        <v>0</v>
      </c>
      <c r="I331" s="99">
        <f t="shared" si="35"/>
        <v>-15019500</v>
      </c>
      <c r="J331" s="99">
        <f t="shared" si="36"/>
        <v>0</v>
      </c>
      <c r="K331" s="99">
        <f t="shared" si="37"/>
        <v>-15019500</v>
      </c>
    </row>
    <row r="332" spans="1:14">
      <c r="A332" s="99" t="s">
        <v>4794</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4799</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4802</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4802</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4802</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4804</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4804</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4805</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4805</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4810</v>
      </c>
      <c r="B341" s="18">
        <v>433375</v>
      </c>
      <c r="C341" s="18">
        <v>0</v>
      </c>
      <c r="D341" s="18">
        <f t="shared" si="18"/>
        <v>433375</v>
      </c>
      <c r="E341" s="99" t="s">
        <v>4813</v>
      </c>
      <c r="F341" s="99">
        <v>1</v>
      </c>
      <c r="G341" s="36">
        <f t="shared" si="38"/>
        <v>11</v>
      </c>
      <c r="H341" s="99">
        <f t="shared" si="39"/>
        <v>1</v>
      </c>
      <c r="I341" s="99">
        <f t="shared" si="40"/>
        <v>4333750</v>
      </c>
      <c r="J341" s="99">
        <f t="shared" si="41"/>
        <v>0</v>
      </c>
      <c r="K341" s="99">
        <f t="shared" si="42"/>
        <v>4333750</v>
      </c>
      <c r="M341" t="s">
        <v>25</v>
      </c>
    </row>
    <row r="342" spans="1:13">
      <c r="A342" s="99" t="s">
        <v>4819</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4819</v>
      </c>
      <c r="B343" s="18">
        <v>-300000</v>
      </c>
      <c r="C343" s="18">
        <v>0</v>
      </c>
      <c r="D343" s="18">
        <f t="shared" si="18"/>
        <v>-300000</v>
      </c>
      <c r="E343" s="99" t="s">
        <v>4822</v>
      </c>
      <c r="F343" s="99">
        <v>0</v>
      </c>
      <c r="G343" s="36">
        <f t="shared" si="43"/>
        <v>10</v>
      </c>
      <c r="H343" s="99">
        <f t="shared" si="44"/>
        <v>0</v>
      </c>
      <c r="I343" s="99">
        <f t="shared" si="45"/>
        <v>-3000000</v>
      </c>
      <c r="J343" s="99">
        <f t="shared" si="46"/>
        <v>0</v>
      </c>
      <c r="K343" s="99">
        <f t="shared" si="47"/>
        <v>-3000000</v>
      </c>
    </row>
    <row r="344" spans="1:13">
      <c r="A344" s="99" t="s">
        <v>4819</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4824</v>
      </c>
      <c r="F345" s="99">
        <v>3</v>
      </c>
      <c r="G345" s="36">
        <f t="shared" si="43"/>
        <v>9</v>
      </c>
      <c r="H345" s="99">
        <f t="shared" si="44"/>
        <v>0</v>
      </c>
      <c r="I345" s="99">
        <f t="shared" si="45"/>
        <v>-12759543</v>
      </c>
      <c r="J345" s="99">
        <f t="shared" si="46"/>
        <v>0</v>
      </c>
      <c r="K345" s="99">
        <f t="shared" si="47"/>
        <v>-12759543</v>
      </c>
      <c r="L345" t="s">
        <v>25</v>
      </c>
    </row>
    <row r="346" spans="1:13">
      <c r="A346" s="99" t="s">
        <v>4829</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4826</v>
      </c>
      <c r="B347" s="18">
        <v>-960200</v>
      </c>
      <c r="C347" s="18">
        <v>0</v>
      </c>
      <c r="D347" s="18">
        <f t="shared" si="18"/>
        <v>-960200</v>
      </c>
      <c r="E347" s="99" t="s">
        <v>4830</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4707</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4716</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4734</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4742</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4742</v>
      </c>
      <c r="B6" s="18">
        <v>-1866154</v>
      </c>
      <c r="C6" s="18">
        <v>0</v>
      </c>
      <c r="D6" s="113">
        <f t="shared" si="0"/>
        <v>-1866154</v>
      </c>
      <c r="E6" s="19" t="s">
        <v>4748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4742</v>
      </c>
      <c r="B7" s="18">
        <v>-36600</v>
      </c>
      <c r="C7" s="18">
        <v>0</v>
      </c>
      <c r="D7" s="113">
        <f t="shared" si="0"/>
        <v>-36600</v>
      </c>
      <c r="E7" s="19" t="s">
        <v>4749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4750</v>
      </c>
      <c r="B8" s="18">
        <v>-492000</v>
      </c>
      <c r="C8" s="18">
        <v>0</v>
      </c>
      <c r="D8" s="113">
        <f t="shared" si="0"/>
        <v>-492000</v>
      </c>
      <c r="E8" s="19" t="s">
        <v>4751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4750</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4750</v>
      </c>
      <c r="B10" s="18">
        <v>-40000</v>
      </c>
      <c r="C10" s="18">
        <v>0</v>
      </c>
      <c r="D10" s="113">
        <f t="shared" si="0"/>
        <v>-40000</v>
      </c>
      <c r="E10" s="19" t="s">
        <v>4753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4754</v>
      </c>
      <c r="B11" s="18">
        <v>-66000</v>
      </c>
      <c r="C11" s="18">
        <v>0</v>
      </c>
      <c r="D11" s="113">
        <f t="shared" si="0"/>
        <v>-66000</v>
      </c>
      <c r="E11" s="19" t="s">
        <v>4753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4755</v>
      </c>
      <c r="B13" s="18">
        <v>-200500</v>
      </c>
      <c r="C13" s="18">
        <v>0</v>
      </c>
      <c r="D13" s="113">
        <f t="shared" si="0"/>
        <v>-200500</v>
      </c>
      <c r="E13" s="20" t="s">
        <v>4756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4760</v>
      </c>
      <c r="B14" s="18">
        <v>1563000</v>
      </c>
      <c r="C14" s="18">
        <v>0</v>
      </c>
      <c r="D14" s="113">
        <f t="shared" si="0"/>
        <v>1563000</v>
      </c>
      <c r="E14" s="20" t="s">
        <v>4763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4760</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4771</v>
      </c>
      <c r="B16" s="18">
        <v>-20000</v>
      </c>
      <c r="C16" s="18">
        <v>0</v>
      </c>
      <c r="D16" s="113">
        <f t="shared" si="0"/>
        <v>-20000</v>
      </c>
      <c r="E16" s="20" t="s">
        <v>4775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4785</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4789</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4794</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4799</v>
      </c>
      <c r="B20" s="18">
        <v>400000</v>
      </c>
      <c r="C20" s="18">
        <v>0</v>
      </c>
      <c r="D20" s="113">
        <f t="shared" si="0"/>
        <v>400000</v>
      </c>
      <c r="E20" s="19" t="s">
        <v>4800</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4802</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4802</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4802</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4804</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4804</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4805</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4805</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4810</v>
      </c>
      <c r="B28" s="18">
        <v>433375</v>
      </c>
      <c r="C28" s="18">
        <v>0</v>
      </c>
      <c r="D28" s="113">
        <f t="shared" si="0"/>
        <v>433375</v>
      </c>
      <c r="E28" s="19" t="s">
        <v>4813</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4819</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4819</v>
      </c>
      <c r="B30" s="18">
        <v>-300000</v>
      </c>
      <c r="C30" s="18">
        <v>0</v>
      </c>
      <c r="D30" s="113">
        <f t="shared" si="0"/>
        <v>-300000</v>
      </c>
      <c r="E30" s="19" t="s">
        <v>4822</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4819</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4824</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4607</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4714</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4715</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4725</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4726</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4733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4740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4752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4761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4764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4770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4773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4774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4786</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4788</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4793</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4795</v>
      </c>
      <c r="F68" s="96"/>
      <c r="G68" s="96"/>
      <c r="H68" s="96"/>
      <c r="I68" s="96"/>
    </row>
    <row r="69" spans="1:22">
      <c r="A69" s="96"/>
      <c r="B69" s="96"/>
      <c r="C69" s="96"/>
      <c r="D69" s="18">
        <v>-67844</v>
      </c>
      <c r="E69" s="122" t="s">
        <v>4797</v>
      </c>
      <c r="F69" s="96"/>
      <c r="G69" s="96"/>
      <c r="H69" s="96"/>
      <c r="I69" s="96"/>
    </row>
    <row r="70" spans="1:22">
      <c r="D70" s="18">
        <v>-400000</v>
      </c>
      <c r="E70" s="122" t="s">
        <v>4801</v>
      </c>
      <c r="G70" t="s">
        <v>25</v>
      </c>
    </row>
    <row r="71" spans="1:22">
      <c r="D71" s="18">
        <v>463200</v>
      </c>
      <c r="E71" s="122" t="s">
        <v>4803</v>
      </c>
    </row>
    <row r="72" spans="1:22">
      <c r="D72" s="18">
        <v>2000000</v>
      </c>
      <c r="E72" s="96" t="s">
        <v>4806</v>
      </c>
    </row>
    <row r="73" spans="1:22">
      <c r="D73" s="18">
        <v>-280000</v>
      </c>
      <c r="E73" t="s">
        <v>4807</v>
      </c>
    </row>
    <row r="74" spans="1:22">
      <c r="D74" s="18">
        <v>-200000</v>
      </c>
      <c r="E74" s="96" t="s">
        <v>4814</v>
      </c>
    </row>
    <row r="75" spans="1:22">
      <c r="D75" s="18">
        <v>-2000000</v>
      </c>
      <c r="E75" s="96" t="s">
        <v>4820</v>
      </c>
    </row>
    <row r="76" spans="1:22">
      <c r="D76" s="18">
        <v>92800</v>
      </c>
      <c r="E76" s="96" t="s">
        <v>4823</v>
      </c>
    </row>
    <row r="77" spans="1:22">
      <c r="D77" s="18">
        <v>1417727</v>
      </c>
      <c r="E77" s="96" t="s">
        <v>4824</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70" zoomScaleNormal="70" workbookViewId="0">
      <selection activeCell="Z32" sqref="Z3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1552</v>
      </c>
      <c r="C5" s="99"/>
      <c r="D5" s="99"/>
      <c r="F5" s="132">
        <v>0.2</v>
      </c>
      <c r="G5" s="132">
        <v>0.46</v>
      </c>
      <c r="I5" s="99"/>
      <c r="J5" s="99"/>
      <c r="L5" s="99" t="s">
        <v>3701</v>
      </c>
      <c r="M5" s="99">
        <v>6150</v>
      </c>
      <c r="U5" s="96"/>
      <c r="V5" s="96"/>
      <c r="W5" s="96"/>
      <c r="X5" s="96"/>
      <c r="Y5" s="96"/>
      <c r="Z5" s="96"/>
    </row>
    <row r="6" spans="1:35" ht="20.25" customHeight="1">
      <c r="A6" s="99" t="s">
        <v>1112</v>
      </c>
      <c r="B6" s="99">
        <v>13700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5009321.1987138251</v>
      </c>
      <c r="C8" s="99">
        <f>B2*B4*B5/(B1*B3)+B7/B6</f>
        <v>365.64388311779743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-969321.19871382508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52" t="s">
        <v>4999</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5057</v>
      </c>
      <c r="X20" s="41">
        <v>9194342556</v>
      </c>
      <c r="Y20" s="41">
        <v>200</v>
      </c>
      <c r="Z20" s="41" t="s">
        <v>4527</v>
      </c>
      <c r="AA20" t="s">
        <v>5037</v>
      </c>
      <c r="AB20" s="96"/>
      <c r="AC20" s="96"/>
      <c r="AD20" s="96"/>
      <c r="AE20" s="96"/>
      <c r="AF20" s="96"/>
      <c r="AG20" s="96"/>
      <c r="AH20" s="96"/>
      <c r="AI20" s="96"/>
    </row>
    <row r="21" spans="5:35">
      <c r="O21" s="99"/>
      <c r="P21" s="99"/>
      <c r="Q21" s="298" t="s">
        <v>1085</v>
      </c>
      <c r="R21" s="298"/>
      <c r="S21" s="298"/>
      <c r="T21" s="298"/>
      <c r="U21" s="96"/>
      <c r="V21" s="96"/>
      <c r="W21" s="41" t="s">
        <v>5056</v>
      </c>
      <c r="X21" s="41">
        <v>9035210431</v>
      </c>
      <c r="Y21" s="41">
        <v>50</v>
      </c>
      <c r="Z21" s="41" t="s">
        <v>5339</v>
      </c>
      <c r="AA21" t="s">
        <v>5074</v>
      </c>
    </row>
    <row r="22" spans="5:35">
      <c r="O22" s="99"/>
      <c r="P22" s="99"/>
      <c r="Q22" s="298"/>
      <c r="R22" s="298"/>
      <c r="S22" s="298"/>
      <c r="T22" s="298"/>
      <c r="U22" s="96"/>
      <c r="V22" s="96"/>
      <c r="W22" s="41" t="s">
        <v>5149</v>
      </c>
      <c r="X22" s="41">
        <v>9909620343</v>
      </c>
      <c r="Y22" s="41">
        <v>200</v>
      </c>
      <c r="Z22" s="41" t="s">
        <v>5340</v>
      </c>
      <c r="AA22" t="s">
        <v>5343</v>
      </c>
      <c r="AB22" s="41" t="s">
        <v>5351</v>
      </c>
    </row>
    <row r="23" spans="5:35" ht="15.75">
      <c r="O23" s="178"/>
      <c r="P23" s="99" t="s">
        <v>4082</v>
      </c>
      <c r="Q23" s="299" t="s">
        <v>1086</v>
      </c>
      <c r="R23" s="300" t="s">
        <v>1087</v>
      </c>
      <c r="S23" s="299" t="s">
        <v>1088</v>
      </c>
      <c r="T23" s="301" t="s">
        <v>1089</v>
      </c>
      <c r="W23" s="41" t="s">
        <v>5150</v>
      </c>
      <c r="X23" s="41">
        <v>9378807702</v>
      </c>
      <c r="Y23" s="41">
        <v>0</v>
      </c>
      <c r="Z23" s="41">
        <v>0</v>
      </c>
      <c r="AD23" t="s">
        <v>25</v>
      </c>
    </row>
    <row r="24" spans="5:35">
      <c r="O24" s="99"/>
      <c r="P24" s="99"/>
      <c r="Q24" s="299"/>
      <c r="R24" s="300"/>
      <c r="S24" s="299"/>
      <c r="T24" s="301"/>
      <c r="W24" s="41" t="s">
        <v>5173</v>
      </c>
      <c r="X24" s="41"/>
      <c r="Y24" s="41">
        <v>200</v>
      </c>
      <c r="Z24" s="41" t="s">
        <v>4527</v>
      </c>
      <c r="AA24" t="s">
        <v>5186</v>
      </c>
      <c r="AB24" t="s">
        <v>5238</v>
      </c>
    </row>
    <row r="25" spans="5:35">
      <c r="O25" s="173" t="s">
        <v>4138</v>
      </c>
      <c r="P25" s="173">
        <v>2182188507</v>
      </c>
      <c r="Q25" s="174" t="s">
        <v>1090</v>
      </c>
      <c r="R25" s="174" t="s">
        <v>4083</v>
      </c>
      <c r="S25" s="174" t="s">
        <v>4088</v>
      </c>
      <c r="T25" s="174" t="s">
        <v>1091</v>
      </c>
      <c r="W25" s="41" t="s">
        <v>5193</v>
      </c>
      <c r="X25" s="41">
        <v>9013075723</v>
      </c>
      <c r="Y25" s="41">
        <v>100</v>
      </c>
      <c r="Z25" s="41" t="s">
        <v>5339</v>
      </c>
      <c r="AA25" t="s">
        <v>5262</v>
      </c>
    </row>
    <row r="26" spans="5:35">
      <c r="O26" s="173"/>
      <c r="P26" s="173">
        <v>2123095122</v>
      </c>
      <c r="Q26" s="175" t="s">
        <v>1092</v>
      </c>
      <c r="R26" s="175" t="s">
        <v>1093</v>
      </c>
      <c r="S26" s="175" t="s">
        <v>1094</v>
      </c>
      <c r="T26" s="175" t="s">
        <v>1095</v>
      </c>
      <c r="U26" s="96"/>
      <c r="V26" s="96"/>
      <c r="W26" s="41" t="s">
        <v>5341</v>
      </c>
      <c r="X26" s="41">
        <v>9214923916</v>
      </c>
      <c r="Y26" s="41">
        <v>100</v>
      </c>
      <c r="Z26" s="41" t="s">
        <v>4527</v>
      </c>
      <c r="AA26" s="207" t="s">
        <v>5335</v>
      </c>
      <c r="AB26" s="96"/>
    </row>
    <row r="27" spans="5:35" ht="30">
      <c r="O27" s="173" t="s">
        <v>4193</v>
      </c>
      <c r="P27" s="173">
        <v>2188831909</v>
      </c>
      <c r="Q27" s="99" t="s">
        <v>4085</v>
      </c>
      <c r="R27" s="99" t="s">
        <v>4086</v>
      </c>
      <c r="S27" s="99" t="s">
        <v>4087</v>
      </c>
      <c r="T27" s="176" t="s">
        <v>4089</v>
      </c>
      <c r="U27" s="96"/>
      <c r="V27" s="96"/>
      <c r="W27" s="41" t="s">
        <v>5342</v>
      </c>
      <c r="X27" s="41" t="s">
        <v>5405</v>
      </c>
      <c r="Y27" s="41">
        <v>80</v>
      </c>
      <c r="Z27" s="41" t="s">
        <v>5339</v>
      </c>
      <c r="AA27" s="207" t="s">
        <v>5335</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4750</v>
      </c>
      <c r="B5" t="s">
        <v>4765</v>
      </c>
    </row>
    <row r="6" spans="1:3">
      <c r="A6" t="s">
        <v>4760</v>
      </c>
      <c r="B6" t="s">
        <v>4766</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4703</v>
      </c>
      <c r="B74" s="113">
        <v>-38130</v>
      </c>
      <c r="C74" s="99" t="s">
        <v>1036</v>
      </c>
      <c r="D74" s="99">
        <v>1</v>
      </c>
      <c r="E74" s="99">
        <f t="shared" si="3"/>
        <v>2</v>
      </c>
      <c r="F74" s="99">
        <f t="shared" si="1"/>
        <v>0</v>
      </c>
      <c r="G74" s="99">
        <f t="shared" si="2"/>
        <v>-76260</v>
      </c>
      <c r="I74" t="s">
        <v>25</v>
      </c>
    </row>
    <row r="75" spans="1:9">
      <c r="A75" s="99" t="s">
        <v>4707</v>
      </c>
      <c r="B75" s="113">
        <v>-20000</v>
      </c>
      <c r="C75" s="99" t="s">
        <v>4712</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4699</v>
      </c>
      <c r="C1" s="99" t="s">
        <v>3931</v>
      </c>
      <c r="D1" s="99" t="s">
        <v>8</v>
      </c>
      <c r="E1" s="96"/>
      <c r="F1" s="96"/>
      <c r="G1" s="96"/>
    </row>
    <row r="2" spans="1:7">
      <c r="A2" s="99" t="s">
        <v>4690</v>
      </c>
      <c r="B2" s="95">
        <v>10300</v>
      </c>
      <c r="C2" s="95">
        <v>0</v>
      </c>
      <c r="D2" s="99" t="s">
        <v>4700</v>
      </c>
      <c r="E2" s="96"/>
      <c r="F2" s="96"/>
      <c r="G2" s="96"/>
    </row>
    <row r="3" spans="1:7">
      <c r="A3" s="99" t="s">
        <v>4690</v>
      </c>
      <c r="B3" s="95">
        <v>0</v>
      </c>
      <c r="C3" s="95">
        <v>5500</v>
      </c>
      <c r="D3" s="99" t="s">
        <v>4701</v>
      </c>
      <c r="E3" s="96"/>
      <c r="F3" s="96"/>
      <c r="G3" s="96"/>
    </row>
    <row r="4" spans="1:7">
      <c r="A4" s="99" t="s">
        <v>3680</v>
      </c>
      <c r="B4" s="95">
        <v>0</v>
      </c>
      <c r="C4" s="95">
        <v>1000</v>
      </c>
      <c r="D4" s="99" t="s">
        <v>315</v>
      </c>
      <c r="E4" s="96"/>
      <c r="F4" s="96"/>
      <c r="G4" s="96"/>
    </row>
    <row r="5" spans="1:7">
      <c r="A5" s="99" t="s">
        <v>4707</v>
      </c>
      <c r="B5" s="95">
        <v>0</v>
      </c>
      <c r="C5" s="95">
        <v>1000</v>
      </c>
      <c r="D5" s="99" t="s">
        <v>315</v>
      </c>
      <c r="E5" s="96"/>
      <c r="F5" s="96"/>
      <c r="G5" s="96"/>
    </row>
    <row r="6" spans="1:7">
      <c r="A6" s="99" t="s">
        <v>4719</v>
      </c>
      <c r="B6" s="95">
        <v>0</v>
      </c>
      <c r="C6" s="95">
        <v>3000</v>
      </c>
      <c r="D6" s="99" t="s">
        <v>4723</v>
      </c>
      <c r="E6" s="96"/>
      <c r="F6" s="96"/>
      <c r="G6" s="96"/>
    </row>
    <row r="7" spans="1:7">
      <c r="A7" s="99" t="s">
        <v>4719</v>
      </c>
      <c r="B7" s="95">
        <v>9200</v>
      </c>
      <c r="C7" s="95">
        <v>0</v>
      </c>
      <c r="D7" s="99" t="s">
        <v>4700</v>
      </c>
      <c r="E7" s="96"/>
      <c r="F7" s="96"/>
      <c r="G7" s="96"/>
    </row>
    <row r="8" spans="1:7">
      <c r="A8" s="99" t="s">
        <v>4721</v>
      </c>
      <c r="B8" s="95">
        <v>0</v>
      </c>
      <c r="C8" s="95">
        <v>1000</v>
      </c>
      <c r="D8" s="99" t="s">
        <v>315</v>
      </c>
      <c r="E8" s="96"/>
      <c r="F8" s="96"/>
      <c r="G8" s="96"/>
    </row>
    <row r="9" spans="1:7">
      <c r="A9" s="99" t="s">
        <v>4728</v>
      </c>
      <c r="B9" s="99">
        <v>0</v>
      </c>
      <c r="C9" s="99">
        <v>1000</v>
      </c>
      <c r="D9" s="99" t="s">
        <v>315</v>
      </c>
      <c r="E9" s="96"/>
      <c r="F9" s="96"/>
      <c r="G9" s="96"/>
    </row>
    <row r="10" spans="1:7">
      <c r="A10" s="99" t="s">
        <v>4728</v>
      </c>
      <c r="B10" s="95">
        <v>10200</v>
      </c>
      <c r="C10" s="95">
        <v>0</v>
      </c>
      <c r="D10" s="99" t="s">
        <v>4700</v>
      </c>
      <c r="E10" s="96"/>
      <c r="F10" s="96"/>
      <c r="G10" s="96"/>
    </row>
    <row r="11" spans="1:7">
      <c r="A11" s="99" t="s">
        <v>4742</v>
      </c>
      <c r="B11" s="95">
        <v>0</v>
      </c>
      <c r="C11" s="95">
        <v>1000</v>
      </c>
      <c r="D11" s="99" t="s">
        <v>315</v>
      </c>
      <c r="E11" s="96"/>
      <c r="F11" s="96"/>
      <c r="G11" s="96"/>
    </row>
    <row r="12" spans="1:7">
      <c r="A12" s="99" t="s">
        <v>4759</v>
      </c>
      <c r="B12" s="95">
        <v>0</v>
      </c>
      <c r="C12" s="95">
        <v>1000</v>
      </c>
      <c r="D12" s="99" t="s">
        <v>315</v>
      </c>
      <c r="E12" s="96"/>
      <c r="F12" s="96"/>
      <c r="G12" s="96"/>
    </row>
    <row r="13" spans="1:7">
      <c r="A13" s="99" t="s">
        <v>4760</v>
      </c>
      <c r="B13" s="95">
        <v>0</v>
      </c>
      <c r="C13" s="95">
        <v>1000</v>
      </c>
      <c r="D13" s="99" t="s">
        <v>315</v>
      </c>
      <c r="E13" s="96"/>
      <c r="F13" s="96"/>
      <c r="G13" s="96"/>
    </row>
    <row r="14" spans="1:7">
      <c r="A14" s="99" t="s">
        <v>4787</v>
      </c>
      <c r="B14" s="95">
        <v>0</v>
      </c>
      <c r="C14" s="95">
        <v>1000</v>
      </c>
      <c r="D14" s="99" t="s">
        <v>315</v>
      </c>
      <c r="E14" s="96"/>
      <c r="F14" s="96"/>
      <c r="G14" s="96"/>
    </row>
    <row r="15" spans="1:7">
      <c r="A15" s="99" t="s">
        <v>4771</v>
      </c>
      <c r="B15" s="95">
        <v>0</v>
      </c>
      <c r="C15" s="95">
        <v>1000</v>
      </c>
      <c r="D15" s="99" t="s">
        <v>315</v>
      </c>
      <c r="E15" s="96"/>
      <c r="F15" s="96"/>
      <c r="G15" s="96"/>
    </row>
    <row r="16" spans="1:7">
      <c r="A16" s="99" t="s">
        <v>971</v>
      </c>
      <c r="B16" s="95">
        <v>10200</v>
      </c>
      <c r="C16" s="95">
        <v>0</v>
      </c>
      <c r="D16" s="99" t="s">
        <v>4700</v>
      </c>
      <c r="E16" s="96"/>
      <c r="F16" s="96"/>
      <c r="G16" s="96"/>
    </row>
    <row r="17" spans="1:9">
      <c r="A17" s="99" t="s">
        <v>971</v>
      </c>
      <c r="B17" s="95">
        <v>0</v>
      </c>
      <c r="C17" s="95">
        <v>1500</v>
      </c>
      <c r="D17" s="99" t="s">
        <v>315</v>
      </c>
      <c r="E17" s="96"/>
      <c r="F17" s="96"/>
      <c r="G17" s="96"/>
    </row>
    <row r="18" spans="1:9">
      <c r="A18" s="99" t="s">
        <v>4792</v>
      </c>
      <c r="B18" s="95">
        <v>0</v>
      </c>
      <c r="C18" s="95">
        <v>1000</v>
      </c>
      <c r="D18" s="99" t="s">
        <v>315</v>
      </c>
      <c r="E18" s="96"/>
      <c r="F18" s="96"/>
      <c r="G18" s="96"/>
    </row>
    <row r="19" spans="1:9">
      <c r="A19" s="99" t="s">
        <v>4794</v>
      </c>
      <c r="B19" s="95">
        <v>0</v>
      </c>
      <c r="C19" s="95">
        <v>1000</v>
      </c>
      <c r="D19" s="99" t="s">
        <v>315</v>
      </c>
      <c r="E19" s="96"/>
      <c r="F19" s="96"/>
      <c r="G19" s="96"/>
    </row>
    <row r="20" spans="1:9">
      <c r="A20" s="99" t="s">
        <v>4796</v>
      </c>
      <c r="B20" s="95">
        <v>0</v>
      </c>
      <c r="C20" s="95">
        <v>1000</v>
      </c>
      <c r="D20" s="99" t="s">
        <v>315</v>
      </c>
      <c r="E20" s="96"/>
      <c r="F20" s="96"/>
      <c r="G20" s="96"/>
    </row>
    <row r="21" spans="1:9">
      <c r="A21" s="99" t="s">
        <v>4799</v>
      </c>
      <c r="B21" s="95">
        <v>0</v>
      </c>
      <c r="C21" s="95">
        <v>1000</v>
      </c>
      <c r="D21" s="99" t="s">
        <v>315</v>
      </c>
      <c r="E21" s="96"/>
      <c r="F21" s="96"/>
      <c r="G21" s="96"/>
    </row>
    <row r="22" spans="1:9">
      <c r="A22" s="99" t="s">
        <v>4799</v>
      </c>
      <c r="B22" s="95">
        <v>9600</v>
      </c>
      <c r="C22" s="95">
        <v>0</v>
      </c>
      <c r="D22" s="99" t="s">
        <v>4700</v>
      </c>
      <c r="E22" s="96"/>
      <c r="F22" s="96"/>
      <c r="G22" s="96"/>
      <c r="I22" t="s">
        <v>25</v>
      </c>
    </row>
    <row r="23" spans="1:9">
      <c r="A23" s="99" t="s">
        <v>4805</v>
      </c>
      <c r="B23" s="95">
        <v>0</v>
      </c>
      <c r="C23" s="95">
        <v>1000</v>
      </c>
      <c r="D23" s="99" t="s">
        <v>315</v>
      </c>
      <c r="E23" s="96"/>
      <c r="F23" s="96"/>
      <c r="G23" s="96"/>
    </row>
    <row r="24" spans="1:9">
      <c r="A24" s="99" t="s">
        <v>4810</v>
      </c>
      <c r="B24" s="95">
        <v>0</v>
      </c>
      <c r="C24" s="95">
        <v>1000</v>
      </c>
      <c r="D24" s="99" t="s">
        <v>315</v>
      </c>
      <c r="E24" s="96"/>
      <c r="F24" s="96"/>
      <c r="G24" s="96"/>
    </row>
    <row r="25" spans="1:9">
      <c r="A25" s="99" t="s">
        <v>4819</v>
      </c>
      <c r="B25" s="95">
        <v>0</v>
      </c>
      <c r="C25" s="95">
        <v>1000</v>
      </c>
      <c r="D25" s="99" t="s">
        <v>315</v>
      </c>
    </row>
    <row r="26" spans="1:9">
      <c r="A26" s="99" t="s">
        <v>4846</v>
      </c>
      <c r="B26" s="95">
        <v>0</v>
      </c>
      <c r="C26" s="95">
        <v>12000</v>
      </c>
      <c r="D26" s="99" t="s">
        <v>4854</v>
      </c>
    </row>
    <row r="27" spans="1:9">
      <c r="A27" s="99" t="s">
        <v>4847</v>
      </c>
      <c r="B27" s="95">
        <v>0</v>
      </c>
      <c r="C27" s="95">
        <v>1000</v>
      </c>
      <c r="D27" s="99" t="s">
        <v>315</v>
      </c>
    </row>
    <row r="28" spans="1:9">
      <c r="A28" s="99" t="s">
        <v>4855</v>
      </c>
      <c r="B28" s="95">
        <v>0</v>
      </c>
      <c r="C28" s="95">
        <v>1000</v>
      </c>
      <c r="D28" s="99" t="s">
        <v>315</v>
      </c>
    </row>
    <row r="29" spans="1:9">
      <c r="A29" s="99" t="s">
        <v>4856</v>
      </c>
      <c r="B29" s="95">
        <v>0</v>
      </c>
      <c r="C29" s="95">
        <v>1000</v>
      </c>
      <c r="D29" s="99" t="s">
        <v>315</v>
      </c>
    </row>
    <row r="30" spans="1:9">
      <c r="A30" s="99" t="s">
        <v>4857</v>
      </c>
      <c r="B30" s="95">
        <v>0</v>
      </c>
      <c r="C30" s="95">
        <v>5500</v>
      </c>
      <c r="D30" s="99" t="s">
        <v>4701</v>
      </c>
    </row>
    <row r="31" spans="1:9">
      <c r="A31" s="99" t="s">
        <v>4857</v>
      </c>
      <c r="B31" s="95">
        <v>11000</v>
      </c>
      <c r="C31" s="95">
        <v>0</v>
      </c>
      <c r="D31" s="99" t="s">
        <v>4700</v>
      </c>
    </row>
    <row r="32" spans="1:9">
      <c r="A32" s="99" t="s">
        <v>4865</v>
      </c>
      <c r="B32" s="95">
        <v>0</v>
      </c>
      <c r="C32" s="95">
        <v>1000</v>
      </c>
      <c r="D32" s="99" t="s">
        <v>315</v>
      </c>
      <c r="H32" t="s">
        <v>25</v>
      </c>
    </row>
    <row r="33" spans="1:10">
      <c r="A33" s="99" t="s">
        <v>4866</v>
      </c>
      <c r="B33" s="95">
        <v>0</v>
      </c>
      <c r="C33" s="95">
        <v>1000</v>
      </c>
      <c r="D33" s="99" t="s">
        <v>315</v>
      </c>
      <c r="H33" t="s">
        <v>25</v>
      </c>
    </row>
    <row r="34" spans="1:10">
      <c r="A34" s="99" t="s">
        <v>4868</v>
      </c>
      <c r="B34" s="95">
        <v>0</v>
      </c>
      <c r="C34" s="95">
        <v>1000</v>
      </c>
      <c r="D34" s="99" t="s">
        <v>315</v>
      </c>
    </row>
    <row r="35" spans="1:10">
      <c r="A35" s="99" t="s">
        <v>4869</v>
      </c>
      <c r="B35" s="95">
        <v>0</v>
      </c>
      <c r="C35" s="95">
        <v>1000</v>
      </c>
      <c r="D35" s="99" t="s">
        <v>315</v>
      </c>
      <c r="J35" t="s">
        <v>25</v>
      </c>
    </row>
    <row r="36" spans="1:10">
      <c r="A36" s="99" t="s">
        <v>4874</v>
      </c>
      <c r="B36" s="95">
        <v>1000</v>
      </c>
      <c r="C36" s="95">
        <v>0</v>
      </c>
      <c r="D36" s="99" t="s">
        <v>315</v>
      </c>
    </row>
    <row r="37" spans="1:10">
      <c r="A37" s="99" t="s">
        <v>4874</v>
      </c>
      <c r="B37" s="95">
        <v>0</v>
      </c>
      <c r="C37" s="95">
        <v>11200</v>
      </c>
      <c r="D37" s="99" t="s">
        <v>4700</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4721</v>
      </c>
      <c r="B48" s="224">
        <v>6700</v>
      </c>
      <c r="C48" s="224">
        <v>0</v>
      </c>
      <c r="D48" s="23" t="s">
        <v>4724</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5420</v>
      </c>
      <c r="E1" s="99"/>
      <c r="F1" s="99"/>
      <c r="G1" s="99"/>
      <c r="H1" s="99"/>
      <c r="I1" s="99"/>
    </row>
    <row r="2" spans="1:15">
      <c r="A2" s="99">
        <v>1</v>
      </c>
      <c r="B2" s="99" t="s">
        <v>5311</v>
      </c>
      <c r="C2" s="95">
        <v>28500</v>
      </c>
      <c r="D2" s="99" t="s">
        <v>5423</v>
      </c>
      <c r="E2" s="99"/>
      <c r="F2" s="99"/>
      <c r="G2" s="99"/>
      <c r="H2" s="99"/>
      <c r="I2" s="99"/>
    </row>
    <row r="3" spans="1:15">
      <c r="A3" s="99">
        <v>2</v>
      </c>
      <c r="B3" s="99" t="s">
        <v>5338</v>
      </c>
      <c r="C3" s="95">
        <v>180200</v>
      </c>
      <c r="D3" s="99" t="s">
        <v>5422</v>
      </c>
      <c r="E3" s="99"/>
      <c r="F3" s="99"/>
      <c r="G3" s="99"/>
      <c r="H3" s="99"/>
      <c r="I3" s="99"/>
    </row>
    <row r="4" spans="1:15">
      <c r="A4" s="99">
        <v>3</v>
      </c>
      <c r="B4" s="99" t="s">
        <v>5414</v>
      </c>
      <c r="C4" s="95">
        <v>187000</v>
      </c>
      <c r="D4" s="99" t="s">
        <v>5421</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4"/>
  <sheetViews>
    <sheetView workbookViewId="0">
      <pane ySplit="1" topLeftCell="A367" activePane="bottomLeft" state="frozen"/>
      <selection pane="bottomLeft" activeCell="C382" sqref="C38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1365</v>
      </c>
      <c r="E2" s="11">
        <f>IF(B2&gt;0,1,0)</f>
        <v>1</v>
      </c>
      <c r="F2" s="11">
        <f>B2*(D2-E2)</f>
        <v>131898800</v>
      </c>
      <c r="G2" s="11" t="s">
        <v>1</v>
      </c>
    </row>
    <row r="3" spans="1:7">
      <c r="A3" s="11" t="s">
        <v>394</v>
      </c>
      <c r="B3" s="3">
        <v>3000000</v>
      </c>
      <c r="C3" s="11">
        <v>3</v>
      </c>
      <c r="D3" s="11">
        <f t="shared" si="0"/>
        <v>1363</v>
      </c>
      <c r="E3" s="11">
        <f t="shared" ref="E3:E66" si="1">IF(B3&gt;0,1,0)</f>
        <v>1</v>
      </c>
      <c r="F3" s="11">
        <f t="shared" ref="F3:F66" si="2">B3*(D3-E3)</f>
        <v>4086000000</v>
      </c>
      <c r="G3" s="11"/>
    </row>
    <row r="4" spans="1:7">
      <c r="A4" s="11" t="s">
        <v>393</v>
      </c>
      <c r="B4" s="3">
        <v>-200000</v>
      </c>
      <c r="C4" s="11">
        <v>2</v>
      </c>
      <c r="D4" s="11">
        <f t="shared" si="0"/>
        <v>1360</v>
      </c>
      <c r="E4" s="11">
        <f t="shared" si="1"/>
        <v>0</v>
      </c>
      <c r="F4" s="11">
        <f t="shared" si="2"/>
        <v>-272000000</v>
      </c>
      <c r="G4" s="11"/>
    </row>
    <row r="5" spans="1:7">
      <c r="A5" s="11" t="s">
        <v>392</v>
      </c>
      <c r="B5" s="3">
        <v>-100000</v>
      </c>
      <c r="C5" s="11">
        <v>1</v>
      </c>
      <c r="D5" s="11">
        <f t="shared" si="0"/>
        <v>1358</v>
      </c>
      <c r="E5" s="11">
        <f t="shared" si="1"/>
        <v>0</v>
      </c>
      <c r="F5" s="11">
        <f t="shared" si="2"/>
        <v>-135800000</v>
      </c>
      <c r="G5" s="11"/>
    </row>
    <row r="6" spans="1:7">
      <c r="A6" s="11" t="s">
        <v>391</v>
      </c>
      <c r="B6" s="3">
        <v>-55000</v>
      </c>
      <c r="C6" s="11">
        <v>1</v>
      </c>
      <c r="D6" s="11">
        <f t="shared" si="0"/>
        <v>1357</v>
      </c>
      <c r="E6" s="11">
        <f t="shared" si="1"/>
        <v>0</v>
      </c>
      <c r="F6" s="11">
        <f t="shared" si="2"/>
        <v>-74635000</v>
      </c>
      <c r="G6" s="11"/>
    </row>
    <row r="7" spans="1:7">
      <c r="A7" s="11" t="s">
        <v>390</v>
      </c>
      <c r="B7" s="3">
        <v>-200000</v>
      </c>
      <c r="C7" s="11">
        <v>4</v>
      </c>
      <c r="D7" s="11">
        <f t="shared" si="0"/>
        <v>1356</v>
      </c>
      <c r="E7" s="11">
        <f t="shared" si="1"/>
        <v>0</v>
      </c>
      <c r="F7" s="11">
        <f t="shared" si="2"/>
        <v>-271200000</v>
      </c>
      <c r="G7" s="11"/>
    </row>
    <row r="8" spans="1:7">
      <c r="A8" s="11" t="s">
        <v>389</v>
      </c>
      <c r="B8" s="3">
        <v>-200000</v>
      </c>
      <c r="C8" s="11">
        <v>10</v>
      </c>
      <c r="D8" s="11">
        <f t="shared" si="0"/>
        <v>1352</v>
      </c>
      <c r="E8" s="11">
        <f t="shared" si="1"/>
        <v>0</v>
      </c>
      <c r="F8" s="11">
        <f t="shared" si="2"/>
        <v>-270400000</v>
      </c>
      <c r="G8" s="11"/>
    </row>
    <row r="9" spans="1:7">
      <c r="A9" s="11" t="s">
        <v>388</v>
      </c>
      <c r="B9" s="3">
        <v>-950500</v>
      </c>
      <c r="C9" s="11">
        <v>1</v>
      </c>
      <c r="D9" s="11">
        <f t="shared" si="0"/>
        <v>1342</v>
      </c>
      <c r="E9" s="11">
        <f t="shared" si="1"/>
        <v>0</v>
      </c>
      <c r="F9" s="11">
        <f t="shared" si="2"/>
        <v>-1275571000</v>
      </c>
      <c r="G9" s="11"/>
    </row>
    <row r="10" spans="1:7">
      <c r="A10" s="23" t="s">
        <v>387</v>
      </c>
      <c r="B10" s="3">
        <v>2000000</v>
      </c>
      <c r="C10" s="11">
        <v>2</v>
      </c>
      <c r="D10" s="11">
        <f t="shared" si="0"/>
        <v>1341</v>
      </c>
      <c r="E10" s="11">
        <f t="shared" si="1"/>
        <v>1</v>
      </c>
      <c r="F10" s="11">
        <f t="shared" si="2"/>
        <v>2680000000</v>
      </c>
      <c r="G10" s="11"/>
    </row>
    <row r="11" spans="1:7">
      <c r="A11" s="11" t="s">
        <v>386</v>
      </c>
      <c r="B11" s="3">
        <v>-1065000</v>
      </c>
      <c r="C11" s="11">
        <v>3</v>
      </c>
      <c r="D11" s="11">
        <f t="shared" si="0"/>
        <v>1339</v>
      </c>
      <c r="E11" s="11">
        <f t="shared" si="1"/>
        <v>0</v>
      </c>
      <c r="F11" s="11">
        <f t="shared" si="2"/>
        <v>-1426035000</v>
      </c>
      <c r="G11" s="11"/>
    </row>
    <row r="12" spans="1:7">
      <c r="A12" s="11" t="s">
        <v>385</v>
      </c>
      <c r="B12" s="3">
        <v>-45000</v>
      </c>
      <c r="C12" s="11">
        <v>1</v>
      </c>
      <c r="D12" s="11">
        <f t="shared" si="0"/>
        <v>1336</v>
      </c>
      <c r="E12" s="11">
        <f t="shared" si="1"/>
        <v>0</v>
      </c>
      <c r="F12" s="11">
        <f t="shared" si="2"/>
        <v>-60120000</v>
      </c>
      <c r="G12" s="11"/>
    </row>
    <row r="13" spans="1:7">
      <c r="A13" s="11" t="s">
        <v>384</v>
      </c>
      <c r="B13" s="3">
        <v>-2000700</v>
      </c>
      <c r="C13" s="11">
        <v>4</v>
      </c>
      <c r="D13" s="11">
        <f t="shared" si="0"/>
        <v>1335</v>
      </c>
      <c r="E13" s="11">
        <f t="shared" si="1"/>
        <v>0</v>
      </c>
      <c r="F13" s="11">
        <f t="shared" si="2"/>
        <v>-2670934500</v>
      </c>
      <c r="G13" s="11"/>
    </row>
    <row r="14" spans="1:7">
      <c r="A14" s="23" t="s">
        <v>383</v>
      </c>
      <c r="B14" s="3">
        <v>-200000</v>
      </c>
      <c r="C14" s="11">
        <v>2</v>
      </c>
      <c r="D14" s="11">
        <f t="shared" si="0"/>
        <v>1331</v>
      </c>
      <c r="E14" s="11">
        <f t="shared" si="1"/>
        <v>0</v>
      </c>
      <c r="F14" s="11">
        <f t="shared" si="2"/>
        <v>-266200000</v>
      </c>
      <c r="G14" s="11"/>
    </row>
    <row r="15" spans="1:7">
      <c r="A15" s="11" t="s">
        <v>382</v>
      </c>
      <c r="B15" s="3">
        <v>2000000</v>
      </c>
      <c r="C15" s="11">
        <v>0</v>
      </c>
      <c r="D15" s="11">
        <f t="shared" si="0"/>
        <v>1329</v>
      </c>
      <c r="E15" s="11">
        <f t="shared" si="1"/>
        <v>1</v>
      </c>
      <c r="F15" s="11">
        <f t="shared" si="2"/>
        <v>2656000000</v>
      </c>
      <c r="G15" s="11"/>
    </row>
    <row r="16" spans="1:7">
      <c r="A16" s="11" t="s">
        <v>382</v>
      </c>
      <c r="B16" s="3">
        <v>2000000</v>
      </c>
      <c r="C16" s="11">
        <v>0</v>
      </c>
      <c r="D16" s="11">
        <f t="shared" si="0"/>
        <v>1329</v>
      </c>
      <c r="E16" s="11">
        <f t="shared" si="1"/>
        <v>1</v>
      </c>
      <c r="F16" s="11">
        <f t="shared" si="2"/>
        <v>2656000000</v>
      </c>
      <c r="G16" s="11"/>
    </row>
    <row r="17" spans="1:12">
      <c r="A17" s="11" t="s">
        <v>382</v>
      </c>
      <c r="B17" s="3">
        <v>1200000</v>
      </c>
      <c r="C17" s="11">
        <v>0</v>
      </c>
      <c r="D17" s="11">
        <f t="shared" si="0"/>
        <v>1329</v>
      </c>
      <c r="E17" s="11">
        <f t="shared" si="1"/>
        <v>1</v>
      </c>
      <c r="F17" s="11">
        <f t="shared" si="2"/>
        <v>1593600000</v>
      </c>
      <c r="G17" s="11"/>
    </row>
    <row r="18" spans="1:12">
      <c r="A18" s="11" t="s">
        <v>382</v>
      </c>
      <c r="B18" s="3">
        <v>1000000</v>
      </c>
      <c r="C18" s="11">
        <v>1</v>
      </c>
      <c r="D18" s="11">
        <f t="shared" si="0"/>
        <v>1329</v>
      </c>
      <c r="E18" s="11">
        <f t="shared" si="1"/>
        <v>1</v>
      </c>
      <c r="F18" s="11">
        <f t="shared" si="2"/>
        <v>1328000000</v>
      </c>
      <c r="G18" s="11"/>
    </row>
    <row r="19" spans="1:12">
      <c r="A19" s="11" t="s">
        <v>381</v>
      </c>
      <c r="B19" s="3">
        <v>3000000</v>
      </c>
      <c r="C19" s="11">
        <v>0</v>
      </c>
      <c r="D19" s="11">
        <f t="shared" si="0"/>
        <v>1328</v>
      </c>
      <c r="E19" s="11">
        <f t="shared" si="1"/>
        <v>1</v>
      </c>
      <c r="F19" s="11">
        <f t="shared" si="2"/>
        <v>3981000000</v>
      </c>
      <c r="G19" s="11"/>
      <c r="L19" t="s">
        <v>25</v>
      </c>
    </row>
    <row r="20" spans="1:12">
      <c r="A20" s="11" t="s">
        <v>381</v>
      </c>
      <c r="B20" s="3">
        <v>-432700</v>
      </c>
      <c r="C20" s="11">
        <v>0</v>
      </c>
      <c r="D20" s="11">
        <f t="shared" si="0"/>
        <v>1328</v>
      </c>
      <c r="E20" s="11">
        <f t="shared" si="1"/>
        <v>0</v>
      </c>
      <c r="F20" s="11">
        <f t="shared" si="2"/>
        <v>-574625600</v>
      </c>
      <c r="G20" s="11"/>
    </row>
    <row r="21" spans="1:12">
      <c r="A21" s="11" t="s">
        <v>381</v>
      </c>
      <c r="B21" s="3">
        <v>-432700</v>
      </c>
      <c r="C21" s="11">
        <v>0</v>
      </c>
      <c r="D21" s="11">
        <f t="shared" si="0"/>
        <v>1328</v>
      </c>
      <c r="E21" s="11">
        <f t="shared" si="1"/>
        <v>0</v>
      </c>
      <c r="F21" s="11">
        <f t="shared" si="2"/>
        <v>-574625600</v>
      </c>
      <c r="G21" s="11"/>
    </row>
    <row r="22" spans="1:12">
      <c r="A22" s="11" t="s">
        <v>381</v>
      </c>
      <c r="B22" s="3">
        <v>-432700</v>
      </c>
      <c r="C22" s="11">
        <v>0</v>
      </c>
      <c r="D22" s="11">
        <f t="shared" si="0"/>
        <v>1328</v>
      </c>
      <c r="E22" s="11">
        <f t="shared" si="1"/>
        <v>0</v>
      </c>
      <c r="F22" s="11">
        <f t="shared" si="2"/>
        <v>-574625600</v>
      </c>
      <c r="G22" s="11"/>
    </row>
    <row r="23" spans="1:12">
      <c r="A23" s="11" t="s">
        <v>381</v>
      </c>
      <c r="B23" s="3">
        <v>-432700</v>
      </c>
      <c r="C23" s="11">
        <v>0</v>
      </c>
      <c r="D23" s="11">
        <f t="shared" si="0"/>
        <v>1328</v>
      </c>
      <c r="E23" s="11">
        <f t="shared" si="1"/>
        <v>0</v>
      </c>
      <c r="F23" s="11">
        <f t="shared" si="2"/>
        <v>-574625600</v>
      </c>
      <c r="G23" s="11"/>
    </row>
    <row r="24" spans="1:12">
      <c r="A24" s="11" t="s">
        <v>381</v>
      </c>
      <c r="B24" s="3">
        <v>-432700</v>
      </c>
      <c r="C24" s="11">
        <v>0</v>
      </c>
      <c r="D24" s="11">
        <f t="shared" si="0"/>
        <v>1328</v>
      </c>
      <c r="E24" s="11">
        <f t="shared" si="1"/>
        <v>0</v>
      </c>
      <c r="F24" s="11">
        <f t="shared" si="2"/>
        <v>-574625600</v>
      </c>
      <c r="G24" s="11"/>
    </row>
    <row r="25" spans="1:12">
      <c r="A25" s="11" t="s">
        <v>381</v>
      </c>
      <c r="B25" s="3">
        <v>-200000</v>
      </c>
      <c r="C25" s="11">
        <v>1</v>
      </c>
      <c r="D25" s="11">
        <f t="shared" si="0"/>
        <v>1328</v>
      </c>
      <c r="E25" s="11">
        <f t="shared" si="1"/>
        <v>0</v>
      </c>
      <c r="F25" s="11">
        <f t="shared" si="2"/>
        <v>-265600000</v>
      </c>
      <c r="G25" s="11"/>
    </row>
    <row r="26" spans="1:12">
      <c r="A26" s="11" t="s">
        <v>380</v>
      </c>
      <c r="B26" s="3">
        <v>3000000</v>
      </c>
      <c r="C26" s="11">
        <v>2</v>
      </c>
      <c r="D26" s="11">
        <f t="shared" si="0"/>
        <v>1327</v>
      </c>
      <c r="E26" s="11">
        <f t="shared" si="1"/>
        <v>1</v>
      </c>
      <c r="F26" s="11">
        <f t="shared" si="2"/>
        <v>3978000000</v>
      </c>
      <c r="G26" s="11"/>
    </row>
    <row r="27" spans="1:12">
      <c r="A27" s="11" t="s">
        <v>379</v>
      </c>
      <c r="B27" s="3">
        <v>-200000</v>
      </c>
      <c r="C27" s="11">
        <v>1</v>
      </c>
      <c r="D27" s="11">
        <f t="shared" si="0"/>
        <v>1325</v>
      </c>
      <c r="E27" s="11">
        <f t="shared" si="1"/>
        <v>0</v>
      </c>
      <c r="F27" s="11">
        <f t="shared" si="2"/>
        <v>-265000000</v>
      </c>
      <c r="G27" s="11"/>
    </row>
    <row r="28" spans="1:12">
      <c r="A28" s="11" t="s">
        <v>378</v>
      </c>
      <c r="B28" s="3">
        <v>2000000</v>
      </c>
      <c r="C28" s="11">
        <v>1</v>
      </c>
      <c r="D28" s="11">
        <f t="shared" si="0"/>
        <v>1324</v>
      </c>
      <c r="E28" s="11">
        <f t="shared" si="1"/>
        <v>1</v>
      </c>
      <c r="F28" s="11">
        <f t="shared" si="2"/>
        <v>2646000000</v>
      </c>
      <c r="G28" s="11"/>
    </row>
    <row r="29" spans="1:12">
      <c r="A29" s="11" t="s">
        <v>377</v>
      </c>
      <c r="B29" s="3">
        <v>-7000800</v>
      </c>
      <c r="C29" s="11">
        <v>1</v>
      </c>
      <c r="D29" s="11">
        <f t="shared" si="0"/>
        <v>1323</v>
      </c>
      <c r="E29" s="11">
        <f t="shared" si="1"/>
        <v>0</v>
      </c>
      <c r="F29" s="11">
        <f t="shared" si="2"/>
        <v>-9262058400</v>
      </c>
      <c r="G29" s="11"/>
    </row>
    <row r="30" spans="1:12">
      <c r="A30" s="23" t="s">
        <v>54</v>
      </c>
      <c r="B30" s="3">
        <v>-3000900</v>
      </c>
      <c r="C30" s="11">
        <v>1</v>
      </c>
      <c r="D30" s="11">
        <f t="shared" si="0"/>
        <v>1322</v>
      </c>
      <c r="E30" s="11">
        <f t="shared" si="1"/>
        <v>0</v>
      </c>
      <c r="F30" s="11">
        <f t="shared" si="2"/>
        <v>-3967189800</v>
      </c>
      <c r="G30" s="11"/>
    </row>
    <row r="31" spans="1:12">
      <c r="A31" s="11" t="s">
        <v>55</v>
      </c>
      <c r="B31" s="3">
        <v>-1695900</v>
      </c>
      <c r="C31" s="11">
        <v>3</v>
      </c>
      <c r="D31" s="11">
        <f t="shared" si="0"/>
        <v>1321</v>
      </c>
      <c r="E31" s="11">
        <f t="shared" si="1"/>
        <v>0</v>
      </c>
      <c r="F31" s="11">
        <f t="shared" si="2"/>
        <v>-2240283900</v>
      </c>
      <c r="G31" s="11"/>
    </row>
    <row r="32" spans="1:12">
      <c r="A32" s="11" t="s">
        <v>376</v>
      </c>
      <c r="B32" s="3">
        <v>994300</v>
      </c>
      <c r="C32" s="11">
        <v>6</v>
      </c>
      <c r="D32" s="11">
        <f t="shared" si="0"/>
        <v>1318</v>
      </c>
      <c r="E32" s="11">
        <f t="shared" si="1"/>
        <v>1</v>
      </c>
      <c r="F32" s="11">
        <f t="shared" si="2"/>
        <v>1309493100</v>
      </c>
      <c r="G32" s="11"/>
    </row>
    <row r="33" spans="1:7">
      <c r="A33" s="11" t="s">
        <v>374</v>
      </c>
      <c r="B33" s="3">
        <v>35091</v>
      </c>
      <c r="C33" s="11">
        <v>1</v>
      </c>
      <c r="D33" s="11">
        <f t="shared" si="0"/>
        <v>1312</v>
      </c>
      <c r="E33" s="11">
        <f t="shared" si="1"/>
        <v>1</v>
      </c>
      <c r="F33" s="11">
        <f t="shared" si="2"/>
        <v>46004301</v>
      </c>
      <c r="G33" s="11" t="s">
        <v>375</v>
      </c>
    </row>
    <row r="34" spans="1:7">
      <c r="A34" s="11" t="s">
        <v>373</v>
      </c>
      <c r="B34" s="3">
        <v>-850000</v>
      </c>
      <c r="C34" s="11">
        <v>8</v>
      </c>
      <c r="D34" s="11">
        <f t="shared" si="0"/>
        <v>1311</v>
      </c>
      <c r="E34" s="11">
        <f t="shared" si="1"/>
        <v>0</v>
      </c>
      <c r="F34" s="11">
        <f t="shared" si="2"/>
        <v>-1114350000</v>
      </c>
      <c r="G34" s="11"/>
    </row>
    <row r="35" spans="1:7">
      <c r="A35" s="23" t="s">
        <v>372</v>
      </c>
      <c r="B35" s="3">
        <v>-190500</v>
      </c>
      <c r="C35" s="11">
        <v>1</v>
      </c>
      <c r="D35" s="11">
        <f t="shared" si="0"/>
        <v>1303</v>
      </c>
      <c r="E35" s="11">
        <f t="shared" si="1"/>
        <v>0</v>
      </c>
      <c r="F35" s="11">
        <f t="shared" si="2"/>
        <v>-248221500</v>
      </c>
      <c r="G35" s="11"/>
    </row>
    <row r="36" spans="1:7">
      <c r="A36" s="37" t="s">
        <v>80</v>
      </c>
      <c r="B36" s="3">
        <v>200000</v>
      </c>
      <c r="C36" s="11">
        <v>0</v>
      </c>
      <c r="D36" s="11">
        <f t="shared" si="0"/>
        <v>1302</v>
      </c>
      <c r="E36" s="11">
        <f t="shared" si="1"/>
        <v>1</v>
      </c>
      <c r="F36" s="11">
        <f t="shared" si="2"/>
        <v>260200000</v>
      </c>
      <c r="G36" s="11"/>
    </row>
    <row r="37" spans="1:7">
      <c r="A37" s="11" t="s">
        <v>80</v>
      </c>
      <c r="B37" s="3">
        <v>-200000</v>
      </c>
      <c r="C37" s="11">
        <v>22</v>
      </c>
      <c r="D37" s="11">
        <f t="shared" si="0"/>
        <v>1302</v>
      </c>
      <c r="E37" s="11">
        <f t="shared" si="1"/>
        <v>0</v>
      </c>
      <c r="F37" s="11">
        <f t="shared" si="2"/>
        <v>-260400000</v>
      </c>
      <c r="G37" s="11"/>
    </row>
    <row r="38" spans="1:7">
      <c r="A38" s="23" t="s">
        <v>371</v>
      </c>
      <c r="B38" s="3">
        <v>300806</v>
      </c>
      <c r="C38" s="11">
        <v>1</v>
      </c>
      <c r="D38" s="11">
        <f t="shared" si="0"/>
        <v>1280</v>
      </c>
      <c r="E38" s="11">
        <f t="shared" si="1"/>
        <v>1</v>
      </c>
      <c r="F38" s="11">
        <f t="shared" si="2"/>
        <v>384730874</v>
      </c>
      <c r="G38" s="11" t="s">
        <v>395</v>
      </c>
    </row>
    <row r="39" spans="1:7">
      <c r="A39" s="11" t="s">
        <v>370</v>
      </c>
      <c r="B39" s="3">
        <v>-95000</v>
      </c>
      <c r="C39" s="11">
        <v>0</v>
      </c>
      <c r="D39" s="11">
        <f t="shared" si="0"/>
        <v>1279</v>
      </c>
      <c r="E39" s="11">
        <f t="shared" si="1"/>
        <v>0</v>
      </c>
      <c r="F39" s="11">
        <f t="shared" si="2"/>
        <v>-121505000</v>
      </c>
      <c r="G39" s="11"/>
    </row>
    <row r="40" spans="1:7">
      <c r="A40" s="11" t="s">
        <v>370</v>
      </c>
      <c r="B40" s="3">
        <v>-88103</v>
      </c>
      <c r="C40" s="11">
        <v>5</v>
      </c>
      <c r="D40" s="11">
        <f t="shared" si="0"/>
        <v>1279</v>
      </c>
      <c r="E40" s="11">
        <f t="shared" si="1"/>
        <v>0</v>
      </c>
      <c r="F40" s="11">
        <f t="shared" si="2"/>
        <v>-112683737</v>
      </c>
      <c r="G40" s="11"/>
    </row>
    <row r="41" spans="1:7">
      <c r="A41" s="11" t="s">
        <v>369</v>
      </c>
      <c r="B41" s="3">
        <v>-120000</v>
      </c>
      <c r="C41" s="11">
        <v>22</v>
      </c>
      <c r="D41" s="11">
        <f t="shared" si="0"/>
        <v>1274</v>
      </c>
      <c r="E41" s="11">
        <f t="shared" si="1"/>
        <v>0</v>
      </c>
      <c r="F41" s="11">
        <f t="shared" si="2"/>
        <v>-152880000</v>
      </c>
      <c r="G41" s="11"/>
    </row>
    <row r="42" spans="1:7">
      <c r="A42" s="11" t="s">
        <v>368</v>
      </c>
      <c r="B42" s="3">
        <v>1000204</v>
      </c>
      <c r="C42" s="11">
        <v>4</v>
      </c>
      <c r="D42" s="11">
        <f t="shared" si="0"/>
        <v>1252</v>
      </c>
      <c r="E42" s="11">
        <f t="shared" si="1"/>
        <v>1</v>
      </c>
      <c r="F42" s="11">
        <f t="shared" si="2"/>
        <v>1251255204</v>
      </c>
      <c r="G42" s="11" t="s">
        <v>396</v>
      </c>
    </row>
    <row r="43" spans="1:7">
      <c r="A43" s="11" t="s">
        <v>367</v>
      </c>
      <c r="B43" s="3">
        <v>-80000</v>
      </c>
      <c r="C43" s="11">
        <v>4</v>
      </c>
      <c r="D43" s="11">
        <f t="shared" si="0"/>
        <v>1248</v>
      </c>
      <c r="E43" s="11">
        <f t="shared" si="1"/>
        <v>0</v>
      </c>
      <c r="F43" s="11">
        <f t="shared" si="2"/>
        <v>-99840000</v>
      </c>
      <c r="G43" s="11"/>
    </row>
    <row r="44" spans="1:7">
      <c r="A44" s="11" t="s">
        <v>366</v>
      </c>
      <c r="B44" s="3">
        <v>-211029</v>
      </c>
      <c r="C44" s="11">
        <v>1</v>
      </c>
      <c r="D44" s="11">
        <f t="shared" si="0"/>
        <v>1244</v>
      </c>
      <c r="E44" s="11">
        <f t="shared" si="1"/>
        <v>0</v>
      </c>
      <c r="F44" s="11">
        <f t="shared" si="2"/>
        <v>-262520076</v>
      </c>
      <c r="G44" s="11"/>
    </row>
    <row r="45" spans="1:7">
      <c r="A45" s="11" t="s">
        <v>365</v>
      </c>
      <c r="B45" s="3">
        <v>-200000</v>
      </c>
      <c r="C45" s="11">
        <v>1</v>
      </c>
      <c r="D45" s="11">
        <f t="shared" si="0"/>
        <v>1243</v>
      </c>
      <c r="E45" s="11">
        <f t="shared" si="1"/>
        <v>0</v>
      </c>
      <c r="F45" s="11">
        <f t="shared" si="2"/>
        <v>-248600000</v>
      </c>
      <c r="G45" s="11"/>
    </row>
    <row r="46" spans="1:7">
      <c r="A46" s="11" t="s">
        <v>364</v>
      </c>
      <c r="B46" s="3">
        <v>-95000</v>
      </c>
      <c r="C46" s="11">
        <v>2</v>
      </c>
      <c r="D46" s="11">
        <f t="shared" si="0"/>
        <v>1242</v>
      </c>
      <c r="E46" s="11">
        <f t="shared" si="1"/>
        <v>0</v>
      </c>
      <c r="F46" s="11">
        <f t="shared" si="2"/>
        <v>-117990000</v>
      </c>
      <c r="G46" s="11"/>
    </row>
    <row r="47" spans="1:7">
      <c r="A47" s="11" t="s">
        <v>363</v>
      </c>
      <c r="B47" s="3">
        <v>-45000</v>
      </c>
      <c r="C47" s="11">
        <v>0</v>
      </c>
      <c r="D47" s="11">
        <f t="shared" si="0"/>
        <v>1240</v>
      </c>
      <c r="E47" s="11">
        <f t="shared" si="1"/>
        <v>0</v>
      </c>
      <c r="F47" s="11">
        <f t="shared" si="2"/>
        <v>-55800000</v>
      </c>
      <c r="G47" s="11"/>
    </row>
    <row r="48" spans="1:7">
      <c r="A48" s="11" t="s">
        <v>363</v>
      </c>
      <c r="B48" s="3">
        <v>-64180</v>
      </c>
      <c r="C48" s="11">
        <v>3</v>
      </c>
      <c r="D48" s="11">
        <f t="shared" si="0"/>
        <v>1240</v>
      </c>
      <c r="E48" s="11">
        <f t="shared" si="1"/>
        <v>0</v>
      </c>
      <c r="F48" s="11">
        <f t="shared" si="2"/>
        <v>-79583200</v>
      </c>
      <c r="G48" s="11"/>
    </row>
    <row r="49" spans="1:7">
      <c r="A49" s="11" t="s">
        <v>362</v>
      </c>
      <c r="B49" s="3">
        <v>-27484</v>
      </c>
      <c r="C49" s="11">
        <v>1</v>
      </c>
      <c r="D49" s="11">
        <f t="shared" si="0"/>
        <v>1237</v>
      </c>
      <c r="E49" s="11">
        <f t="shared" si="1"/>
        <v>0</v>
      </c>
      <c r="F49" s="11">
        <f t="shared" si="2"/>
        <v>-33997708</v>
      </c>
      <c r="G49" s="11"/>
    </row>
    <row r="50" spans="1:7">
      <c r="A50" s="11" t="s">
        <v>361</v>
      </c>
      <c r="B50" s="3">
        <v>-141000</v>
      </c>
      <c r="C50" s="11">
        <v>0</v>
      </c>
      <c r="D50" s="11">
        <f t="shared" si="0"/>
        <v>1236</v>
      </c>
      <c r="E50" s="11">
        <f t="shared" si="1"/>
        <v>0</v>
      </c>
      <c r="F50" s="11">
        <f t="shared" si="2"/>
        <v>-174276000</v>
      </c>
      <c r="G50" s="11"/>
    </row>
    <row r="51" spans="1:7">
      <c r="A51" s="11" t="s">
        <v>361</v>
      </c>
      <c r="B51" s="3">
        <v>-26746</v>
      </c>
      <c r="C51" s="11">
        <v>1</v>
      </c>
      <c r="D51" s="11">
        <f t="shared" si="0"/>
        <v>1236</v>
      </c>
      <c r="E51" s="11">
        <f t="shared" si="1"/>
        <v>0</v>
      </c>
      <c r="F51" s="11">
        <f t="shared" si="2"/>
        <v>-33058056</v>
      </c>
      <c r="G51" s="11"/>
    </row>
    <row r="52" spans="1:7">
      <c r="A52" s="11" t="s">
        <v>360</v>
      </c>
      <c r="B52" s="3">
        <v>-53300</v>
      </c>
      <c r="C52" s="11">
        <v>1</v>
      </c>
      <c r="D52" s="11">
        <f t="shared" si="0"/>
        <v>1235</v>
      </c>
      <c r="E52" s="11">
        <f t="shared" si="1"/>
        <v>0</v>
      </c>
      <c r="F52" s="11">
        <f t="shared" si="2"/>
        <v>-65825500</v>
      </c>
      <c r="G52" s="11"/>
    </row>
    <row r="53" spans="1:7">
      <c r="A53" s="11" t="s">
        <v>126</v>
      </c>
      <c r="B53" s="3">
        <v>1000000</v>
      </c>
      <c r="C53" s="11">
        <v>6</v>
      </c>
      <c r="D53" s="11">
        <f t="shared" si="0"/>
        <v>1234</v>
      </c>
      <c r="E53" s="11">
        <f t="shared" si="1"/>
        <v>1</v>
      </c>
      <c r="F53" s="11">
        <f t="shared" si="2"/>
        <v>1233000000</v>
      </c>
      <c r="G53" s="11"/>
    </row>
    <row r="54" spans="1:7">
      <c r="A54" s="11" t="s">
        <v>359</v>
      </c>
      <c r="B54" s="3">
        <v>-21000</v>
      </c>
      <c r="C54" s="11">
        <v>1</v>
      </c>
      <c r="D54" s="11">
        <f t="shared" si="0"/>
        <v>1228</v>
      </c>
      <c r="E54" s="11">
        <f t="shared" si="1"/>
        <v>0</v>
      </c>
      <c r="F54" s="11">
        <f t="shared" si="2"/>
        <v>-25788000</v>
      </c>
      <c r="G54" s="11"/>
    </row>
    <row r="55" spans="1:7">
      <c r="A55" s="11" t="s">
        <v>131</v>
      </c>
      <c r="B55" s="3">
        <v>-980500</v>
      </c>
      <c r="C55" s="11">
        <v>0</v>
      </c>
      <c r="D55" s="11">
        <f t="shared" si="0"/>
        <v>1227</v>
      </c>
      <c r="E55" s="11">
        <f t="shared" si="1"/>
        <v>0</v>
      </c>
      <c r="F55" s="11">
        <f t="shared" si="2"/>
        <v>-1203073500</v>
      </c>
      <c r="G55" s="11"/>
    </row>
    <row r="56" spans="1:7">
      <c r="A56" s="11" t="s">
        <v>131</v>
      </c>
      <c r="B56" s="3">
        <v>-45000</v>
      </c>
      <c r="C56" s="11">
        <v>13</v>
      </c>
      <c r="D56" s="11">
        <f t="shared" si="0"/>
        <v>1227</v>
      </c>
      <c r="E56" s="11">
        <f t="shared" si="1"/>
        <v>0</v>
      </c>
      <c r="F56" s="11">
        <f t="shared" si="2"/>
        <v>-55215000</v>
      </c>
      <c r="G56" s="11"/>
    </row>
    <row r="57" spans="1:7">
      <c r="A57" s="11" t="s">
        <v>358</v>
      </c>
      <c r="B57" s="3">
        <v>3005189</v>
      </c>
      <c r="C57" s="11">
        <v>0</v>
      </c>
      <c r="D57" s="11">
        <f t="shared" si="0"/>
        <v>1214</v>
      </c>
      <c r="E57" s="11">
        <f t="shared" si="1"/>
        <v>1</v>
      </c>
      <c r="F57" s="11">
        <f t="shared" si="2"/>
        <v>3645294257</v>
      </c>
      <c r="G57" s="11" t="s">
        <v>397</v>
      </c>
    </row>
    <row r="58" spans="1:7">
      <c r="A58" s="11" t="s">
        <v>358</v>
      </c>
      <c r="B58" s="3">
        <v>2000000</v>
      </c>
      <c r="C58" s="11">
        <v>1</v>
      </c>
      <c r="D58" s="11">
        <f t="shared" si="0"/>
        <v>1214</v>
      </c>
      <c r="E58" s="11">
        <f t="shared" si="1"/>
        <v>1</v>
      </c>
      <c r="F58" s="11">
        <f t="shared" si="2"/>
        <v>2426000000</v>
      </c>
      <c r="G58" s="11"/>
    </row>
    <row r="59" spans="1:7">
      <c r="A59" s="11" t="s">
        <v>143</v>
      </c>
      <c r="B59" s="3">
        <v>2000000</v>
      </c>
      <c r="C59" s="11">
        <v>0</v>
      </c>
      <c r="D59" s="11">
        <f t="shared" si="0"/>
        <v>1213</v>
      </c>
      <c r="E59" s="11">
        <f t="shared" si="1"/>
        <v>1</v>
      </c>
      <c r="F59" s="11">
        <f t="shared" si="2"/>
        <v>2424000000</v>
      </c>
      <c r="G59" s="11"/>
    </row>
    <row r="60" spans="1:7">
      <c r="A60" s="11" t="s">
        <v>143</v>
      </c>
      <c r="B60" s="3">
        <v>-7001500</v>
      </c>
      <c r="C60" s="11">
        <v>24</v>
      </c>
      <c r="D60" s="11">
        <f t="shared" si="0"/>
        <v>1213</v>
      </c>
      <c r="E60" s="11">
        <f t="shared" si="1"/>
        <v>0</v>
      </c>
      <c r="F60" s="11">
        <f t="shared" si="2"/>
        <v>-8492819500</v>
      </c>
      <c r="G60" s="11"/>
    </row>
    <row r="61" spans="1:7">
      <c r="A61" s="11" t="s">
        <v>357</v>
      </c>
      <c r="B61" s="3">
        <v>3000000</v>
      </c>
      <c r="C61" s="11">
        <v>1</v>
      </c>
      <c r="D61" s="11">
        <f t="shared" si="0"/>
        <v>1189</v>
      </c>
      <c r="E61" s="11">
        <f t="shared" si="1"/>
        <v>1</v>
      </c>
      <c r="F61" s="11">
        <f t="shared" si="2"/>
        <v>3564000000</v>
      </c>
      <c r="G61" s="11"/>
    </row>
    <row r="62" spans="1:7">
      <c r="A62" s="11" t="s">
        <v>356</v>
      </c>
      <c r="B62" s="3">
        <v>-27109</v>
      </c>
      <c r="C62" s="11">
        <v>0</v>
      </c>
      <c r="D62" s="11">
        <f t="shared" si="0"/>
        <v>1188</v>
      </c>
      <c r="E62" s="11">
        <f t="shared" si="1"/>
        <v>0</v>
      </c>
      <c r="F62" s="11">
        <f t="shared" si="2"/>
        <v>-32205492</v>
      </c>
      <c r="G62" s="11"/>
    </row>
    <row r="63" spans="1:7">
      <c r="A63" s="11" t="s">
        <v>356</v>
      </c>
      <c r="B63" s="3">
        <v>-32989</v>
      </c>
      <c r="C63" s="11">
        <v>0</v>
      </c>
      <c r="D63" s="11">
        <f t="shared" si="0"/>
        <v>1188</v>
      </c>
      <c r="E63" s="11">
        <f t="shared" si="1"/>
        <v>0</v>
      </c>
      <c r="F63" s="11">
        <f t="shared" si="2"/>
        <v>-39190932</v>
      </c>
      <c r="G63" s="11"/>
    </row>
    <row r="64" spans="1:7">
      <c r="A64" s="11" t="s">
        <v>356</v>
      </c>
      <c r="B64" s="3">
        <v>3000000</v>
      </c>
      <c r="C64" s="11">
        <v>0</v>
      </c>
      <c r="D64" s="11">
        <f t="shared" si="0"/>
        <v>1188</v>
      </c>
      <c r="E64" s="11">
        <f t="shared" si="1"/>
        <v>1</v>
      </c>
      <c r="F64" s="11">
        <f t="shared" si="2"/>
        <v>3561000000</v>
      </c>
      <c r="G64" s="11"/>
    </row>
    <row r="65" spans="1:7">
      <c r="A65" s="11" t="s">
        <v>356</v>
      </c>
      <c r="B65" s="3">
        <v>2970000</v>
      </c>
      <c r="C65" s="11">
        <v>0</v>
      </c>
      <c r="D65" s="11">
        <f t="shared" si="0"/>
        <v>1188</v>
      </c>
      <c r="E65" s="11">
        <f t="shared" si="1"/>
        <v>1</v>
      </c>
      <c r="F65" s="11">
        <f t="shared" si="2"/>
        <v>3525390000</v>
      </c>
      <c r="G65" s="11"/>
    </row>
    <row r="66" spans="1:7">
      <c r="A66" s="11" t="s">
        <v>356</v>
      </c>
      <c r="B66" s="3">
        <v>1000000</v>
      </c>
      <c r="C66" s="11">
        <v>0</v>
      </c>
      <c r="D66" s="11">
        <f t="shared" ref="D66:D129" si="3">D67+C66</f>
        <v>1188</v>
      </c>
      <c r="E66" s="11">
        <f t="shared" si="1"/>
        <v>1</v>
      </c>
      <c r="F66" s="11">
        <f t="shared" si="2"/>
        <v>1187000000</v>
      </c>
      <c r="G66" s="11"/>
    </row>
    <row r="67" spans="1:7">
      <c r="A67" s="11" t="s">
        <v>356</v>
      </c>
      <c r="B67" s="3">
        <v>30000</v>
      </c>
      <c r="C67" s="11">
        <v>1</v>
      </c>
      <c r="D67" s="11">
        <f t="shared" si="3"/>
        <v>1188</v>
      </c>
      <c r="E67" s="11">
        <f t="shared" ref="E67:E130" si="4">IF(B67&gt;0,1,0)</f>
        <v>1</v>
      </c>
      <c r="F67" s="11">
        <f t="shared" ref="F67:F249" si="5">B67*(D67-E67)</f>
        <v>35610000</v>
      </c>
      <c r="G67" s="11"/>
    </row>
    <row r="68" spans="1:7">
      <c r="A68" s="11" t="s">
        <v>355</v>
      </c>
      <c r="B68" s="3">
        <v>30000000</v>
      </c>
      <c r="C68" s="11">
        <v>1</v>
      </c>
      <c r="D68" s="11">
        <f t="shared" si="3"/>
        <v>1187</v>
      </c>
      <c r="E68" s="11">
        <f t="shared" si="4"/>
        <v>1</v>
      </c>
      <c r="F68" s="11">
        <f t="shared" si="5"/>
        <v>35580000000</v>
      </c>
      <c r="G68" s="11"/>
    </row>
    <row r="69" spans="1:7">
      <c r="A69" s="11" t="s">
        <v>196</v>
      </c>
      <c r="B69" s="3">
        <v>-200000</v>
      </c>
      <c r="C69" s="11">
        <v>0</v>
      </c>
      <c r="D69" s="11">
        <f t="shared" si="3"/>
        <v>1186</v>
      </c>
      <c r="E69" s="11">
        <f t="shared" si="4"/>
        <v>0</v>
      </c>
      <c r="F69" s="11">
        <f t="shared" si="5"/>
        <v>-237200000</v>
      </c>
      <c r="G69" s="11"/>
    </row>
    <row r="70" spans="1:7">
      <c r="A70" s="11" t="s">
        <v>354</v>
      </c>
      <c r="B70" s="3">
        <v>1400000</v>
      </c>
      <c r="C70" s="11">
        <v>0</v>
      </c>
      <c r="D70" s="11">
        <f t="shared" si="3"/>
        <v>1186</v>
      </c>
      <c r="E70" s="11">
        <f t="shared" si="4"/>
        <v>1</v>
      </c>
      <c r="F70" s="11">
        <f t="shared" si="5"/>
        <v>1659000000</v>
      </c>
      <c r="G70" s="11"/>
    </row>
    <row r="71" spans="1:7">
      <c r="A71" s="11" t="s">
        <v>354</v>
      </c>
      <c r="B71" s="3">
        <v>2600000</v>
      </c>
      <c r="C71" s="11">
        <v>0</v>
      </c>
      <c r="D71" s="11">
        <f t="shared" si="3"/>
        <v>1186</v>
      </c>
      <c r="E71" s="11">
        <f t="shared" si="4"/>
        <v>1</v>
      </c>
      <c r="F71" s="11">
        <f t="shared" si="5"/>
        <v>3081000000</v>
      </c>
      <c r="G71" s="11"/>
    </row>
    <row r="72" spans="1:7">
      <c r="A72" s="11" t="s">
        <v>354</v>
      </c>
      <c r="B72" s="3">
        <v>-1000000</v>
      </c>
      <c r="C72" s="11">
        <v>2</v>
      </c>
      <c r="D72" s="11">
        <f t="shared" si="3"/>
        <v>1186</v>
      </c>
      <c r="E72" s="11">
        <f t="shared" si="4"/>
        <v>0</v>
      </c>
      <c r="F72" s="11">
        <f t="shared" si="5"/>
        <v>-1186000000</v>
      </c>
      <c r="G72" s="11"/>
    </row>
    <row r="73" spans="1:7">
      <c r="A73" s="11" t="s">
        <v>353</v>
      </c>
      <c r="B73" s="3">
        <v>15000000</v>
      </c>
      <c r="C73" s="11">
        <v>5</v>
      </c>
      <c r="D73" s="11">
        <f t="shared" si="3"/>
        <v>1184</v>
      </c>
      <c r="E73" s="11">
        <f t="shared" si="4"/>
        <v>1</v>
      </c>
      <c r="F73" s="11">
        <f t="shared" si="5"/>
        <v>17745000000</v>
      </c>
      <c r="G73" s="11"/>
    </row>
    <row r="74" spans="1:7">
      <c r="A74" s="23" t="s">
        <v>277</v>
      </c>
      <c r="B74" s="3">
        <v>-15004200</v>
      </c>
      <c r="C74" s="11">
        <v>2</v>
      </c>
      <c r="D74" s="11">
        <f t="shared" si="3"/>
        <v>1179</v>
      </c>
      <c r="E74" s="11">
        <f t="shared" si="4"/>
        <v>0</v>
      </c>
      <c r="F74" s="11">
        <f t="shared" si="5"/>
        <v>-17689951800</v>
      </c>
      <c r="G74" s="11"/>
    </row>
    <row r="75" spans="1:7">
      <c r="A75" s="11" t="s">
        <v>275</v>
      </c>
      <c r="B75" s="3">
        <v>-3000000</v>
      </c>
      <c r="C75" s="11">
        <v>0</v>
      </c>
      <c r="D75" s="11">
        <f t="shared" si="3"/>
        <v>1177</v>
      </c>
      <c r="E75" s="11">
        <f t="shared" si="4"/>
        <v>0</v>
      </c>
      <c r="F75" s="11">
        <f t="shared" si="5"/>
        <v>-3531000000</v>
      </c>
      <c r="G75" s="11"/>
    </row>
    <row r="76" spans="1:7">
      <c r="A76" s="11" t="s">
        <v>275</v>
      </c>
      <c r="B76" s="3">
        <v>-200000</v>
      </c>
      <c r="C76" s="11">
        <v>0</v>
      </c>
      <c r="D76" s="11">
        <f t="shared" si="3"/>
        <v>1177</v>
      </c>
      <c r="E76" s="11">
        <f t="shared" si="4"/>
        <v>0</v>
      </c>
      <c r="F76" s="11">
        <f t="shared" si="5"/>
        <v>-235400000</v>
      </c>
      <c r="G76" s="11"/>
    </row>
    <row r="77" spans="1:7">
      <c r="A77" s="23" t="s">
        <v>275</v>
      </c>
      <c r="B77" s="3">
        <v>-12003000</v>
      </c>
      <c r="C77" s="11">
        <v>4</v>
      </c>
      <c r="D77" s="11">
        <f t="shared" si="3"/>
        <v>1177</v>
      </c>
      <c r="E77" s="11">
        <f t="shared" si="4"/>
        <v>0</v>
      </c>
      <c r="F77" s="11">
        <f t="shared" si="5"/>
        <v>-14127531000</v>
      </c>
      <c r="G77" s="11"/>
    </row>
    <row r="78" spans="1:7">
      <c r="A78" s="23" t="s">
        <v>228</v>
      </c>
      <c r="B78" s="3">
        <v>-3000900</v>
      </c>
      <c r="C78" s="11">
        <v>5</v>
      </c>
      <c r="D78" s="11">
        <f t="shared" si="3"/>
        <v>1173</v>
      </c>
      <c r="E78" s="11">
        <f t="shared" si="4"/>
        <v>0</v>
      </c>
      <c r="F78" s="11">
        <f t="shared" si="5"/>
        <v>-3520055700</v>
      </c>
      <c r="G78" s="11"/>
    </row>
    <row r="79" spans="1:7">
      <c r="A79" s="11" t="s">
        <v>352</v>
      </c>
      <c r="B79" s="3">
        <v>23000000</v>
      </c>
      <c r="C79" s="11">
        <v>5</v>
      </c>
      <c r="D79" s="11">
        <f t="shared" si="3"/>
        <v>1168</v>
      </c>
      <c r="E79" s="11">
        <f t="shared" si="4"/>
        <v>1</v>
      </c>
      <c r="F79" s="11">
        <f t="shared" si="5"/>
        <v>26841000000</v>
      </c>
      <c r="G79" s="11"/>
    </row>
    <row r="80" spans="1:7">
      <c r="A80" s="23" t="s">
        <v>237</v>
      </c>
      <c r="B80" s="3">
        <v>-600500</v>
      </c>
      <c r="C80" s="11">
        <v>0</v>
      </c>
      <c r="D80" s="11">
        <f t="shared" si="3"/>
        <v>1163</v>
      </c>
      <c r="E80" s="11">
        <f t="shared" si="4"/>
        <v>0</v>
      </c>
      <c r="F80" s="11">
        <f t="shared" si="5"/>
        <v>-698381500</v>
      </c>
      <c r="G80" s="11"/>
    </row>
    <row r="81" spans="1:10">
      <c r="A81" s="20" t="s">
        <v>237</v>
      </c>
      <c r="B81" s="3">
        <v>-200000</v>
      </c>
      <c r="C81" s="11">
        <v>1</v>
      </c>
      <c r="D81" s="11">
        <f t="shared" si="3"/>
        <v>1163</v>
      </c>
      <c r="E81" s="11">
        <f t="shared" si="4"/>
        <v>0</v>
      </c>
      <c r="F81" s="11">
        <f t="shared" si="5"/>
        <v>-232600000</v>
      </c>
      <c r="G81" s="11"/>
    </row>
    <row r="82" spans="1:10">
      <c r="A82" s="11" t="s">
        <v>241</v>
      </c>
      <c r="B82" s="3">
        <v>283221</v>
      </c>
      <c r="C82" s="11">
        <v>0</v>
      </c>
      <c r="D82" s="11">
        <f t="shared" si="3"/>
        <v>1162</v>
      </c>
      <c r="E82" s="11">
        <f t="shared" si="4"/>
        <v>1</v>
      </c>
      <c r="F82" s="11">
        <f t="shared" si="5"/>
        <v>328819581</v>
      </c>
      <c r="G82" s="11" t="s">
        <v>242</v>
      </c>
    </row>
    <row r="83" spans="1:10">
      <c r="A83" s="11" t="s">
        <v>241</v>
      </c>
      <c r="B83" s="3">
        <v>-200000</v>
      </c>
      <c r="C83" s="11">
        <v>2</v>
      </c>
      <c r="D83" s="11">
        <f t="shared" si="3"/>
        <v>1162</v>
      </c>
      <c r="E83" s="11">
        <f t="shared" si="4"/>
        <v>0</v>
      </c>
      <c r="F83" s="11">
        <f t="shared" si="5"/>
        <v>-232400000</v>
      </c>
      <c r="G83" s="11"/>
    </row>
    <row r="84" spans="1:10">
      <c r="A84" s="11" t="s">
        <v>351</v>
      </c>
      <c r="B84" s="3">
        <v>2000000</v>
      </c>
      <c r="C84" s="11">
        <v>3</v>
      </c>
      <c r="D84" s="11">
        <f t="shared" si="3"/>
        <v>1160</v>
      </c>
      <c r="E84" s="11">
        <f t="shared" si="4"/>
        <v>1</v>
      </c>
      <c r="F84" s="11">
        <f t="shared" si="5"/>
        <v>2318000000</v>
      </c>
      <c r="G84" s="11"/>
    </row>
    <row r="85" spans="1:10">
      <c r="A85" s="11" t="s">
        <v>245</v>
      </c>
      <c r="B85" s="3">
        <v>-200000</v>
      </c>
      <c r="C85" s="11">
        <v>6</v>
      </c>
      <c r="D85" s="11">
        <f t="shared" si="3"/>
        <v>1157</v>
      </c>
      <c r="E85" s="11">
        <f t="shared" si="4"/>
        <v>0</v>
      </c>
      <c r="F85" s="11">
        <f t="shared" si="5"/>
        <v>-231400000</v>
      </c>
      <c r="G85" s="11"/>
    </row>
    <row r="86" spans="1:10">
      <c r="A86" s="11" t="s">
        <v>350</v>
      </c>
      <c r="B86" s="3">
        <v>-200000</v>
      </c>
      <c r="C86" s="11">
        <v>2</v>
      </c>
      <c r="D86" s="11">
        <f t="shared" si="3"/>
        <v>1151</v>
      </c>
      <c r="E86" s="11">
        <f t="shared" si="4"/>
        <v>0</v>
      </c>
      <c r="F86" s="11">
        <f t="shared" si="5"/>
        <v>-230200000</v>
      </c>
      <c r="G86" s="11"/>
    </row>
    <row r="87" spans="1:10">
      <c r="A87" s="11" t="s">
        <v>250</v>
      </c>
      <c r="B87" s="3">
        <v>-1325000</v>
      </c>
      <c r="C87" s="11">
        <v>15</v>
      </c>
      <c r="D87" s="11">
        <f t="shared" si="3"/>
        <v>1149</v>
      </c>
      <c r="E87" s="11">
        <f t="shared" si="4"/>
        <v>0</v>
      </c>
      <c r="F87" s="11">
        <f t="shared" si="5"/>
        <v>-1522425000</v>
      </c>
      <c r="G87" s="11"/>
    </row>
    <row r="88" spans="1:10">
      <c r="A88" s="11" t="s">
        <v>349</v>
      </c>
      <c r="B88" s="3">
        <v>-500000</v>
      </c>
      <c r="C88" s="11">
        <v>0</v>
      </c>
      <c r="D88" s="11">
        <f t="shared" si="3"/>
        <v>1134</v>
      </c>
      <c r="E88" s="11">
        <f t="shared" si="4"/>
        <v>0</v>
      </c>
      <c r="F88" s="11">
        <f t="shared" si="5"/>
        <v>-567000000</v>
      </c>
      <c r="G88" s="11"/>
    </row>
    <row r="89" spans="1:10">
      <c r="A89" s="11" t="s">
        <v>348</v>
      </c>
      <c r="B89" s="3">
        <v>-120000</v>
      </c>
      <c r="C89" s="11">
        <v>2</v>
      </c>
      <c r="D89" s="11">
        <f t="shared" si="3"/>
        <v>1134</v>
      </c>
      <c r="E89" s="11">
        <f t="shared" si="4"/>
        <v>0</v>
      </c>
      <c r="F89" s="11">
        <f t="shared" si="5"/>
        <v>-136080000</v>
      </c>
      <c r="G89" s="11"/>
    </row>
    <row r="90" spans="1:10">
      <c r="A90" s="11" t="s">
        <v>262</v>
      </c>
      <c r="B90" s="3">
        <v>428205</v>
      </c>
      <c r="C90" s="11">
        <v>3</v>
      </c>
      <c r="D90" s="11">
        <f t="shared" si="3"/>
        <v>1132</v>
      </c>
      <c r="E90" s="11">
        <f t="shared" si="4"/>
        <v>1</v>
      </c>
      <c r="F90" s="11">
        <f t="shared" si="5"/>
        <v>484299855</v>
      </c>
      <c r="G90" s="11" t="s">
        <v>264</v>
      </c>
    </row>
    <row r="91" spans="1:10">
      <c r="A91" s="23" t="s">
        <v>263</v>
      </c>
      <c r="B91" s="3">
        <v>-3002000</v>
      </c>
      <c r="C91" s="11">
        <v>2</v>
      </c>
      <c r="D91" s="11">
        <f t="shared" si="3"/>
        <v>1129</v>
      </c>
      <c r="E91" s="11">
        <f t="shared" si="4"/>
        <v>0</v>
      </c>
      <c r="F91" s="11">
        <f t="shared" si="5"/>
        <v>-3389258000</v>
      </c>
      <c r="G91" s="11" t="s">
        <v>337</v>
      </c>
    </row>
    <row r="92" spans="1:10">
      <c r="A92" s="23" t="s">
        <v>336</v>
      </c>
      <c r="B92" s="3">
        <v>-205000</v>
      </c>
      <c r="C92" s="11">
        <v>0</v>
      </c>
      <c r="D92" s="11">
        <f t="shared" si="3"/>
        <v>1127</v>
      </c>
      <c r="E92" s="11">
        <f t="shared" si="4"/>
        <v>0</v>
      </c>
      <c r="F92" s="11">
        <f t="shared" si="5"/>
        <v>-231035000</v>
      </c>
      <c r="G92" s="11" t="s">
        <v>338</v>
      </c>
    </row>
    <row r="93" spans="1:10">
      <c r="A93" s="11" t="s">
        <v>334</v>
      </c>
      <c r="B93" s="3">
        <v>-350500</v>
      </c>
      <c r="C93" s="11">
        <v>11</v>
      </c>
      <c r="D93" s="11">
        <f t="shared" si="3"/>
        <v>1127</v>
      </c>
      <c r="E93" s="11">
        <f t="shared" si="4"/>
        <v>0</v>
      </c>
      <c r="F93" s="11">
        <f t="shared" si="5"/>
        <v>-395013500</v>
      </c>
      <c r="G93" s="11" t="s">
        <v>335</v>
      </c>
    </row>
    <row r="94" spans="1:10">
      <c r="A94" s="11" t="s">
        <v>332</v>
      </c>
      <c r="B94" s="3">
        <v>1000000</v>
      </c>
      <c r="C94" s="11">
        <v>5</v>
      </c>
      <c r="D94" s="11">
        <f t="shared" si="3"/>
        <v>1116</v>
      </c>
      <c r="E94" s="11">
        <f t="shared" si="4"/>
        <v>1</v>
      </c>
      <c r="F94" s="11">
        <f t="shared" si="5"/>
        <v>1115000000</v>
      </c>
      <c r="G94" s="11" t="s">
        <v>333</v>
      </c>
    </row>
    <row r="95" spans="1:10">
      <c r="A95" s="11" t="s">
        <v>343</v>
      </c>
      <c r="B95" s="3">
        <v>9000000</v>
      </c>
      <c r="C95" s="11">
        <v>2</v>
      </c>
      <c r="D95" s="11">
        <f t="shared" si="3"/>
        <v>1111</v>
      </c>
      <c r="E95" s="11">
        <f t="shared" si="4"/>
        <v>1</v>
      </c>
      <c r="F95" s="11">
        <f t="shared" si="5"/>
        <v>9990000000</v>
      </c>
      <c r="G95" s="11" t="s">
        <v>345</v>
      </c>
      <c r="J95" s="26"/>
    </row>
    <row r="96" spans="1:10">
      <c r="A96" s="11" t="s">
        <v>346</v>
      </c>
      <c r="B96" s="3">
        <v>-26000000</v>
      </c>
      <c r="C96" s="11">
        <v>0</v>
      </c>
      <c r="D96" s="11">
        <f t="shared" si="3"/>
        <v>1109</v>
      </c>
      <c r="E96" s="11">
        <f t="shared" si="4"/>
        <v>0</v>
      </c>
      <c r="F96" s="11">
        <f t="shared" si="5"/>
        <v>-28834000000</v>
      </c>
      <c r="G96" s="11" t="s">
        <v>347</v>
      </c>
    </row>
    <row r="97" spans="1:9">
      <c r="A97" s="11" t="s">
        <v>346</v>
      </c>
      <c r="B97" s="3">
        <v>-26000000</v>
      </c>
      <c r="C97" s="11">
        <v>0</v>
      </c>
      <c r="D97" s="11">
        <f t="shared" si="3"/>
        <v>1109</v>
      </c>
      <c r="E97" s="11">
        <f t="shared" si="4"/>
        <v>0</v>
      </c>
      <c r="F97" s="11">
        <f t="shared" si="5"/>
        <v>-28834000000</v>
      </c>
      <c r="G97" s="11"/>
    </row>
    <row r="98" spans="1:9">
      <c r="A98" s="11" t="s">
        <v>346</v>
      </c>
      <c r="B98" s="3">
        <v>26000000</v>
      </c>
      <c r="C98" s="11">
        <v>0</v>
      </c>
      <c r="D98" s="11">
        <f t="shared" si="3"/>
        <v>1109</v>
      </c>
      <c r="E98" s="11">
        <f t="shared" si="4"/>
        <v>1</v>
      </c>
      <c r="F98" s="11">
        <f t="shared" si="5"/>
        <v>28808000000</v>
      </c>
      <c r="G98" s="11"/>
    </row>
    <row r="99" spans="1:9">
      <c r="A99" s="11" t="s">
        <v>346</v>
      </c>
      <c r="B99" s="3">
        <v>-200000</v>
      </c>
      <c r="C99" s="11">
        <v>2</v>
      </c>
      <c r="D99" s="11">
        <f t="shared" si="3"/>
        <v>1109</v>
      </c>
      <c r="E99" s="11">
        <f t="shared" si="4"/>
        <v>0</v>
      </c>
      <c r="F99" s="11">
        <f t="shared" si="5"/>
        <v>-221800000</v>
      </c>
      <c r="G99" s="11"/>
      <c r="I99" t="s">
        <v>25</v>
      </c>
    </row>
    <row r="100" spans="1:9">
      <c r="A100" s="11" t="s">
        <v>398</v>
      </c>
      <c r="B100" s="3">
        <v>29200000</v>
      </c>
      <c r="C100" s="11">
        <v>5</v>
      </c>
      <c r="D100" s="11">
        <f t="shared" si="3"/>
        <v>1107</v>
      </c>
      <c r="E100" s="11">
        <f t="shared" si="4"/>
        <v>1</v>
      </c>
      <c r="F100" s="11">
        <f t="shared" si="5"/>
        <v>32295200000</v>
      </c>
      <c r="G100" s="11"/>
    </row>
    <row r="101" spans="1:9">
      <c r="A101" s="11" t="s">
        <v>399</v>
      </c>
      <c r="B101" s="3">
        <v>399945</v>
      </c>
      <c r="C101" s="11">
        <v>1</v>
      </c>
      <c r="D101" s="11">
        <f t="shared" si="3"/>
        <v>1102</v>
      </c>
      <c r="E101" s="11">
        <f t="shared" si="4"/>
        <v>1</v>
      </c>
      <c r="F101" s="11">
        <f t="shared" si="5"/>
        <v>440339445</v>
      </c>
      <c r="G101" s="11" t="s">
        <v>400</v>
      </c>
    </row>
    <row r="102" spans="1:9">
      <c r="A102" s="11" t="s">
        <v>401</v>
      </c>
      <c r="B102" s="3">
        <v>2000000</v>
      </c>
      <c r="C102" s="11">
        <v>1</v>
      </c>
      <c r="D102" s="11">
        <f t="shared" si="3"/>
        <v>1101</v>
      </c>
      <c r="E102" s="11">
        <f t="shared" si="4"/>
        <v>1</v>
      </c>
      <c r="F102" s="11">
        <f t="shared" si="5"/>
        <v>2200000000</v>
      </c>
      <c r="G102" s="11" t="s">
        <v>402</v>
      </c>
    </row>
    <row r="103" spans="1:9">
      <c r="A103" s="11" t="s">
        <v>409</v>
      </c>
      <c r="B103" s="3">
        <v>7500000</v>
      </c>
      <c r="C103" s="11">
        <v>0</v>
      </c>
      <c r="D103" s="11">
        <f t="shared" si="3"/>
        <v>1100</v>
      </c>
      <c r="E103" s="11">
        <f t="shared" si="4"/>
        <v>1</v>
      </c>
      <c r="F103" s="11">
        <f t="shared" si="5"/>
        <v>8242500000</v>
      </c>
      <c r="G103" s="11" t="s">
        <v>410</v>
      </c>
    </row>
    <row r="104" spans="1:9">
      <c r="A104" s="11" t="s">
        <v>409</v>
      </c>
      <c r="B104" s="3">
        <v>-66000000</v>
      </c>
      <c r="C104" s="11">
        <v>0</v>
      </c>
      <c r="D104" s="11">
        <f t="shared" si="3"/>
        <v>1100</v>
      </c>
      <c r="E104" s="11">
        <f t="shared" si="4"/>
        <v>0</v>
      </c>
      <c r="F104" s="11">
        <f t="shared" si="5"/>
        <v>-72600000000</v>
      </c>
      <c r="G104" s="11" t="s">
        <v>424</v>
      </c>
    </row>
    <row r="105" spans="1:9">
      <c r="A105" s="11" t="s">
        <v>409</v>
      </c>
      <c r="B105" s="3">
        <v>-145000</v>
      </c>
      <c r="C105" s="11">
        <v>2</v>
      </c>
      <c r="D105" s="11">
        <f t="shared" si="3"/>
        <v>1100</v>
      </c>
      <c r="E105" s="11">
        <f t="shared" si="4"/>
        <v>0</v>
      </c>
      <c r="F105" s="11">
        <f t="shared" si="5"/>
        <v>-159500000</v>
      </c>
      <c r="G105" s="11" t="s">
        <v>425</v>
      </c>
    </row>
    <row r="106" spans="1:9">
      <c r="A106" s="11" t="s">
        <v>421</v>
      </c>
      <c r="B106" s="3">
        <v>6000000</v>
      </c>
      <c r="C106" s="11">
        <v>2</v>
      </c>
      <c r="D106" s="11">
        <f t="shared" si="3"/>
        <v>1098</v>
      </c>
      <c r="E106" s="11">
        <f t="shared" si="4"/>
        <v>1</v>
      </c>
      <c r="F106" s="11">
        <f t="shared" si="5"/>
        <v>6582000000</v>
      </c>
      <c r="G106" s="11" t="s">
        <v>426</v>
      </c>
    </row>
    <row r="107" spans="1:9">
      <c r="A107" s="11" t="s">
        <v>434</v>
      </c>
      <c r="B107" s="3">
        <v>-6005900</v>
      </c>
      <c r="C107" s="11">
        <v>3</v>
      </c>
      <c r="D107" s="11">
        <f t="shared" si="3"/>
        <v>1096</v>
      </c>
      <c r="E107" s="11">
        <f t="shared" si="4"/>
        <v>0</v>
      </c>
      <c r="F107" s="11">
        <f t="shared" si="5"/>
        <v>-6582466400</v>
      </c>
      <c r="G107" s="11" t="s">
        <v>436</v>
      </c>
    </row>
    <row r="108" spans="1:9">
      <c r="A108" s="11" t="s">
        <v>439</v>
      </c>
      <c r="B108" s="3">
        <v>6000000</v>
      </c>
      <c r="C108" s="11">
        <v>12</v>
      </c>
      <c r="D108" s="11">
        <f t="shared" si="3"/>
        <v>1093</v>
      </c>
      <c r="E108" s="11">
        <f t="shared" si="4"/>
        <v>1</v>
      </c>
      <c r="F108" s="11">
        <f t="shared" si="5"/>
        <v>6552000000</v>
      </c>
      <c r="G108" s="11" t="s">
        <v>444</v>
      </c>
    </row>
    <row r="109" spans="1:9">
      <c r="A109" s="11" t="s">
        <v>458</v>
      </c>
      <c r="B109" s="3">
        <v>-120000</v>
      </c>
      <c r="C109" s="11">
        <v>1</v>
      </c>
      <c r="D109" s="11">
        <f t="shared" si="3"/>
        <v>1081</v>
      </c>
      <c r="E109" s="11">
        <f t="shared" si="4"/>
        <v>0</v>
      </c>
      <c r="F109" s="11">
        <f t="shared" si="5"/>
        <v>-129720000</v>
      </c>
      <c r="G109" s="11" t="s">
        <v>459</v>
      </c>
    </row>
    <row r="110" spans="1:9">
      <c r="A110" s="11" t="s">
        <v>460</v>
      </c>
      <c r="B110" s="3">
        <v>4000000</v>
      </c>
      <c r="C110" s="11">
        <v>1</v>
      </c>
      <c r="D110" s="11">
        <f t="shared" si="3"/>
        <v>1080</v>
      </c>
      <c r="E110" s="11">
        <f t="shared" si="4"/>
        <v>1</v>
      </c>
      <c r="F110" s="11">
        <f t="shared" si="5"/>
        <v>4316000000</v>
      </c>
      <c r="G110" s="11" t="s">
        <v>461</v>
      </c>
    </row>
    <row r="111" spans="1:9">
      <c r="A111" s="11" t="s">
        <v>465</v>
      </c>
      <c r="B111" s="3">
        <v>2800000</v>
      </c>
      <c r="C111" s="11">
        <v>4</v>
      </c>
      <c r="D111" s="11">
        <f t="shared" si="3"/>
        <v>1079</v>
      </c>
      <c r="E111" s="11">
        <f t="shared" si="4"/>
        <v>1</v>
      </c>
      <c r="F111" s="11">
        <f t="shared" si="5"/>
        <v>3018400000</v>
      </c>
      <c r="G111" s="11" t="s">
        <v>466</v>
      </c>
    </row>
    <row r="112" spans="1:9">
      <c r="A112" s="11" t="s">
        <v>470</v>
      </c>
      <c r="B112" s="3">
        <v>-200000</v>
      </c>
      <c r="C112" s="11">
        <v>1</v>
      </c>
      <c r="D112" s="11">
        <f t="shared" si="3"/>
        <v>1075</v>
      </c>
      <c r="E112" s="11">
        <f t="shared" si="4"/>
        <v>0</v>
      </c>
      <c r="F112" s="11">
        <f t="shared" si="5"/>
        <v>-215000000</v>
      </c>
      <c r="G112" s="11" t="s">
        <v>472</v>
      </c>
    </row>
    <row r="113" spans="1:10">
      <c r="A113" s="11" t="s">
        <v>471</v>
      </c>
      <c r="B113" s="3">
        <v>72310</v>
      </c>
      <c r="C113" s="11">
        <v>17</v>
      </c>
      <c r="D113" s="11">
        <f t="shared" si="3"/>
        <v>1074</v>
      </c>
      <c r="E113" s="11">
        <f t="shared" si="4"/>
        <v>1</v>
      </c>
      <c r="F113" s="11">
        <f t="shared" si="5"/>
        <v>77588630</v>
      </c>
      <c r="G113" s="11" t="s">
        <v>498</v>
      </c>
    </row>
    <row r="114" spans="1:10">
      <c r="A114" s="11" t="s">
        <v>494</v>
      </c>
      <c r="B114" s="3">
        <v>-200000</v>
      </c>
      <c r="C114" s="11">
        <v>1</v>
      </c>
      <c r="D114" s="11">
        <f t="shared" si="3"/>
        <v>1057</v>
      </c>
      <c r="E114" s="11">
        <f t="shared" si="4"/>
        <v>0</v>
      </c>
      <c r="F114" s="11">
        <f t="shared" si="5"/>
        <v>-211400000</v>
      </c>
      <c r="G114" s="11" t="s">
        <v>459</v>
      </c>
      <c r="J114" t="s">
        <v>25</v>
      </c>
    </row>
    <row r="115" spans="1:10">
      <c r="A115" s="23" t="s">
        <v>495</v>
      </c>
      <c r="B115" s="35">
        <v>-11000000</v>
      </c>
      <c r="C115" s="23">
        <v>0</v>
      </c>
      <c r="D115" s="11">
        <f t="shared" si="3"/>
        <v>1056</v>
      </c>
      <c r="E115" s="11">
        <f t="shared" si="4"/>
        <v>0</v>
      </c>
      <c r="F115" s="23">
        <f t="shared" si="5"/>
        <v>-11616000000</v>
      </c>
      <c r="G115" s="23" t="s">
        <v>499</v>
      </c>
    </row>
    <row r="116" spans="1:10">
      <c r="A116" s="11" t="s">
        <v>495</v>
      </c>
      <c r="B116" s="3">
        <v>-200000</v>
      </c>
      <c r="C116" s="11">
        <v>2</v>
      </c>
      <c r="D116" s="11">
        <f t="shared" si="3"/>
        <v>1056</v>
      </c>
      <c r="E116" s="11">
        <f t="shared" si="4"/>
        <v>0</v>
      </c>
      <c r="F116" s="11">
        <f t="shared" si="5"/>
        <v>-211200000</v>
      </c>
      <c r="G116" s="11" t="s">
        <v>459</v>
      </c>
      <c r="I116" t="s">
        <v>25</v>
      </c>
    </row>
    <row r="117" spans="1:10">
      <c r="A117" s="11" t="s">
        <v>500</v>
      </c>
      <c r="B117" s="3">
        <v>-450500</v>
      </c>
      <c r="C117" s="11">
        <v>0</v>
      </c>
      <c r="D117" s="11">
        <f t="shared" si="3"/>
        <v>1054</v>
      </c>
      <c r="E117" s="11">
        <f t="shared" si="4"/>
        <v>0</v>
      </c>
      <c r="F117" s="11">
        <f t="shared" si="5"/>
        <v>-474827000</v>
      </c>
      <c r="G117" s="11" t="s">
        <v>501</v>
      </c>
    </row>
    <row r="118" spans="1:10">
      <c r="A118" s="11" t="s">
        <v>500</v>
      </c>
      <c r="B118" s="3">
        <v>-200000</v>
      </c>
      <c r="C118" s="11">
        <v>6</v>
      </c>
      <c r="D118" s="11">
        <f t="shared" si="3"/>
        <v>1054</v>
      </c>
      <c r="E118" s="11">
        <f t="shared" si="4"/>
        <v>0</v>
      </c>
      <c r="F118" s="11">
        <f t="shared" si="5"/>
        <v>-210800000</v>
      </c>
      <c r="G118" s="11" t="s">
        <v>502</v>
      </c>
      <c r="J118" t="s">
        <v>25</v>
      </c>
    </row>
    <row r="119" spans="1:10">
      <c r="A119" s="11" t="s">
        <v>504</v>
      </c>
      <c r="B119" s="3">
        <v>-154550</v>
      </c>
      <c r="C119" s="11">
        <v>0</v>
      </c>
      <c r="D119" s="11">
        <f t="shared" si="3"/>
        <v>1048</v>
      </c>
      <c r="E119" s="11">
        <f t="shared" si="4"/>
        <v>0</v>
      </c>
      <c r="F119" s="11">
        <f t="shared" si="5"/>
        <v>-161968400</v>
      </c>
      <c r="G119" s="11" t="s">
        <v>505</v>
      </c>
    </row>
    <row r="120" spans="1:10">
      <c r="A120" s="11" t="s">
        <v>504</v>
      </c>
      <c r="B120" s="3">
        <v>-320</v>
      </c>
      <c r="C120" s="11">
        <v>1</v>
      </c>
      <c r="D120" s="11">
        <f t="shared" si="3"/>
        <v>1048</v>
      </c>
      <c r="E120" s="11">
        <f t="shared" si="4"/>
        <v>0</v>
      </c>
      <c r="F120" s="11">
        <f t="shared" si="5"/>
        <v>-335360</v>
      </c>
      <c r="G120" s="11" t="s">
        <v>506</v>
      </c>
    </row>
    <row r="121" spans="1:10">
      <c r="A121" s="11" t="s">
        <v>507</v>
      </c>
      <c r="B121" s="3">
        <v>-432000</v>
      </c>
      <c r="C121" s="11">
        <v>6</v>
      </c>
      <c r="D121" s="11">
        <f t="shared" si="3"/>
        <v>1047</v>
      </c>
      <c r="E121" s="11">
        <f t="shared" si="4"/>
        <v>0</v>
      </c>
      <c r="F121" s="11">
        <f t="shared" si="5"/>
        <v>-452304000</v>
      </c>
      <c r="G121" s="11" t="s">
        <v>508</v>
      </c>
    </row>
    <row r="122" spans="1:10">
      <c r="A122" s="11" t="s">
        <v>509</v>
      </c>
      <c r="B122" s="3">
        <v>74043</v>
      </c>
      <c r="C122" s="11">
        <v>21</v>
      </c>
      <c r="D122" s="11">
        <f t="shared" si="3"/>
        <v>1041</v>
      </c>
      <c r="E122" s="11">
        <f t="shared" si="4"/>
        <v>1</v>
      </c>
      <c r="F122" s="11">
        <f t="shared" si="5"/>
        <v>77004720</v>
      </c>
      <c r="G122" s="11" t="s">
        <v>510</v>
      </c>
    </row>
    <row r="123" spans="1:10">
      <c r="A123" s="11" t="s">
        <v>532</v>
      </c>
      <c r="B123" s="3">
        <v>-52000</v>
      </c>
      <c r="C123" s="11">
        <v>41</v>
      </c>
      <c r="D123" s="11">
        <f t="shared" si="3"/>
        <v>1020</v>
      </c>
      <c r="E123" s="11">
        <f t="shared" si="4"/>
        <v>0</v>
      </c>
      <c r="F123" s="11">
        <f t="shared" si="5"/>
        <v>-53040000</v>
      </c>
      <c r="G123" s="11" t="s">
        <v>534</v>
      </c>
    </row>
    <row r="124" spans="1:10">
      <c r="A124" s="11" t="s">
        <v>584</v>
      </c>
      <c r="B124" s="3">
        <v>1187</v>
      </c>
      <c r="C124" s="11">
        <v>1</v>
      </c>
      <c r="D124" s="11">
        <f t="shared" si="3"/>
        <v>979</v>
      </c>
      <c r="E124" s="11">
        <f t="shared" si="4"/>
        <v>1</v>
      </c>
      <c r="F124" s="11">
        <f t="shared" si="5"/>
        <v>1160886</v>
      </c>
      <c r="G124" s="11" t="s">
        <v>585</v>
      </c>
    </row>
    <row r="125" spans="1:10">
      <c r="A125" s="11" t="s">
        <v>582</v>
      </c>
      <c r="B125" s="3">
        <v>2400000</v>
      </c>
      <c r="C125" s="11">
        <v>2</v>
      </c>
      <c r="D125" s="11">
        <f t="shared" si="3"/>
        <v>978</v>
      </c>
      <c r="E125" s="11">
        <f t="shared" si="4"/>
        <v>1</v>
      </c>
      <c r="F125" s="11">
        <f t="shared" si="5"/>
        <v>2344800000</v>
      </c>
      <c r="G125" s="11" t="s">
        <v>583</v>
      </c>
    </row>
    <row r="126" spans="1:10">
      <c r="A126" s="11" t="s">
        <v>591</v>
      </c>
      <c r="B126" s="3">
        <v>1342800</v>
      </c>
      <c r="C126" s="11">
        <v>0</v>
      </c>
      <c r="D126" s="11">
        <f t="shared" si="3"/>
        <v>976</v>
      </c>
      <c r="E126" s="11">
        <f t="shared" si="4"/>
        <v>1</v>
      </c>
      <c r="F126" s="11">
        <f t="shared" si="5"/>
        <v>1309230000</v>
      </c>
      <c r="G126" s="11" t="s">
        <v>592</v>
      </c>
    </row>
    <row r="127" spans="1:10">
      <c r="A127" s="11" t="s">
        <v>591</v>
      </c>
      <c r="B127" s="3">
        <v>1342800</v>
      </c>
      <c r="C127" s="11">
        <v>12</v>
      </c>
      <c r="D127" s="11">
        <f t="shared" si="3"/>
        <v>976</v>
      </c>
      <c r="E127" s="11">
        <f t="shared" si="4"/>
        <v>1</v>
      </c>
      <c r="F127" s="11">
        <f t="shared" si="5"/>
        <v>1309230000</v>
      </c>
      <c r="G127" s="11" t="s">
        <v>593</v>
      </c>
    </row>
    <row r="128" spans="1:10">
      <c r="A128" s="11" t="s">
        <v>600</v>
      </c>
      <c r="B128" s="3">
        <v>-200000</v>
      </c>
      <c r="C128" s="11">
        <v>2</v>
      </c>
      <c r="D128" s="11">
        <f t="shared" si="3"/>
        <v>964</v>
      </c>
      <c r="E128" s="11">
        <f t="shared" si="4"/>
        <v>0</v>
      </c>
      <c r="F128" s="11">
        <f t="shared" si="5"/>
        <v>-192800000</v>
      </c>
      <c r="G128" s="11" t="s">
        <v>158</v>
      </c>
    </row>
    <row r="129" spans="1:11">
      <c r="A129" s="11" t="s">
        <v>601</v>
      </c>
      <c r="B129" s="3">
        <v>-15618</v>
      </c>
      <c r="C129" s="11">
        <v>1</v>
      </c>
      <c r="D129" s="11">
        <f t="shared" si="3"/>
        <v>962</v>
      </c>
      <c r="E129" s="11">
        <f t="shared" si="4"/>
        <v>0</v>
      </c>
      <c r="F129" s="11">
        <f>B129*(D129-E129)</f>
        <v>-15024516</v>
      </c>
      <c r="G129" s="11" t="s">
        <v>602</v>
      </c>
      <c r="K129" t="s">
        <v>25</v>
      </c>
    </row>
    <row r="130" spans="1:11">
      <c r="A130" s="11" t="s">
        <v>603</v>
      </c>
      <c r="B130" s="3">
        <v>-200000</v>
      </c>
      <c r="C130" s="11">
        <v>1</v>
      </c>
      <c r="D130" s="11">
        <f t="shared" ref="D130:D185" si="6">D131+C130</f>
        <v>961</v>
      </c>
      <c r="E130" s="11">
        <f t="shared" si="4"/>
        <v>0</v>
      </c>
      <c r="F130" s="11">
        <f t="shared" si="5"/>
        <v>-192200000</v>
      </c>
      <c r="G130" s="11" t="s">
        <v>502</v>
      </c>
    </row>
    <row r="131" spans="1:11">
      <c r="A131" s="11" t="s">
        <v>605</v>
      </c>
      <c r="B131" s="3">
        <v>-200000</v>
      </c>
      <c r="C131" s="11">
        <v>1</v>
      </c>
      <c r="D131" s="11">
        <f t="shared" si="6"/>
        <v>960</v>
      </c>
      <c r="E131" s="11">
        <f t="shared" ref="E131:E248" si="7">IF(B131&gt;0,1,0)</f>
        <v>0</v>
      </c>
      <c r="F131" s="11">
        <f t="shared" si="5"/>
        <v>-192000000</v>
      </c>
      <c r="G131" s="11" t="s">
        <v>606</v>
      </c>
    </row>
    <row r="132" spans="1:11">
      <c r="A132" s="11" t="s">
        <v>607</v>
      </c>
      <c r="B132" s="3">
        <v>-390000</v>
      </c>
      <c r="C132" s="11">
        <v>0</v>
      </c>
      <c r="D132" s="11">
        <f t="shared" si="6"/>
        <v>959</v>
      </c>
      <c r="E132" s="11">
        <f t="shared" si="7"/>
        <v>0</v>
      </c>
      <c r="F132" s="11">
        <f t="shared" si="5"/>
        <v>-374010000</v>
      </c>
      <c r="G132" s="11" t="s">
        <v>608</v>
      </c>
    </row>
    <row r="133" spans="1:11">
      <c r="A133" s="11" t="s">
        <v>607</v>
      </c>
      <c r="B133" s="3">
        <v>-24500</v>
      </c>
      <c r="C133" s="11">
        <v>1</v>
      </c>
      <c r="D133" s="11">
        <f t="shared" si="6"/>
        <v>959</v>
      </c>
      <c r="E133" s="11">
        <f t="shared" si="7"/>
        <v>0</v>
      </c>
      <c r="F133" s="11">
        <f t="shared" si="5"/>
        <v>-23495500</v>
      </c>
      <c r="G133" s="11" t="s">
        <v>609</v>
      </c>
    </row>
    <row r="134" spans="1:11">
      <c r="A134" s="11" t="s">
        <v>610</v>
      </c>
      <c r="B134" s="3">
        <v>-95000</v>
      </c>
      <c r="C134" s="11">
        <v>4</v>
      </c>
      <c r="D134" s="11">
        <f t="shared" si="6"/>
        <v>958</v>
      </c>
      <c r="E134" s="11">
        <f t="shared" si="7"/>
        <v>0</v>
      </c>
      <c r="F134" s="11">
        <f t="shared" si="5"/>
        <v>-91010000</v>
      </c>
      <c r="G134" s="11" t="s">
        <v>459</v>
      </c>
    </row>
    <row r="135" spans="1:11">
      <c r="A135" s="11" t="s">
        <v>612</v>
      </c>
      <c r="B135" s="3">
        <v>-200000</v>
      </c>
      <c r="C135" s="11">
        <v>2</v>
      </c>
      <c r="D135" s="11">
        <f t="shared" si="6"/>
        <v>954</v>
      </c>
      <c r="E135" s="11">
        <f t="shared" si="7"/>
        <v>0</v>
      </c>
      <c r="F135" s="11">
        <f t="shared" si="5"/>
        <v>-190800000</v>
      </c>
      <c r="G135" s="11" t="s">
        <v>613</v>
      </c>
    </row>
    <row r="136" spans="1:11">
      <c r="A136" s="11" t="s">
        <v>615</v>
      </c>
      <c r="B136" s="3">
        <v>50000000</v>
      </c>
      <c r="C136" s="11">
        <v>1</v>
      </c>
      <c r="D136" s="11">
        <f t="shared" si="6"/>
        <v>952</v>
      </c>
      <c r="E136" s="11">
        <f t="shared" si="7"/>
        <v>1</v>
      </c>
      <c r="F136" s="11">
        <f t="shared" si="5"/>
        <v>47550000000</v>
      </c>
      <c r="G136" s="11" t="s">
        <v>616</v>
      </c>
    </row>
    <row r="137" spans="1:11">
      <c r="A137" s="11" t="s">
        <v>621</v>
      </c>
      <c r="B137" s="3">
        <v>12000000</v>
      </c>
      <c r="C137" s="11">
        <v>2</v>
      </c>
      <c r="D137" s="11">
        <f t="shared" si="6"/>
        <v>951</v>
      </c>
      <c r="E137" s="11">
        <f t="shared" si="7"/>
        <v>1</v>
      </c>
      <c r="F137" s="11">
        <f t="shared" si="5"/>
        <v>11400000000</v>
      </c>
      <c r="G137" s="11" t="s">
        <v>616</v>
      </c>
    </row>
    <row r="138" spans="1:11">
      <c r="A138" s="11" t="s">
        <v>623</v>
      </c>
      <c r="B138" s="3">
        <v>2000000</v>
      </c>
      <c r="C138" s="11">
        <v>1</v>
      </c>
      <c r="D138" s="11">
        <f t="shared" si="6"/>
        <v>949</v>
      </c>
      <c r="E138" s="11">
        <f t="shared" si="7"/>
        <v>1</v>
      </c>
      <c r="F138" s="11">
        <f t="shared" si="5"/>
        <v>1896000000</v>
      </c>
      <c r="G138" s="11" t="s">
        <v>625</v>
      </c>
    </row>
    <row r="139" spans="1:11">
      <c r="A139" s="11" t="s">
        <v>627</v>
      </c>
      <c r="B139" s="3">
        <v>87538</v>
      </c>
      <c r="C139" s="11">
        <v>13</v>
      </c>
      <c r="D139" s="11">
        <f t="shared" si="6"/>
        <v>948</v>
      </c>
      <c r="E139" s="11">
        <f t="shared" si="7"/>
        <v>1</v>
      </c>
      <c r="F139" s="11">
        <f t="shared" si="5"/>
        <v>82898486</v>
      </c>
      <c r="G139" s="11" t="s">
        <v>375</v>
      </c>
    </row>
    <row r="140" spans="1:11">
      <c r="A140" s="11" t="s">
        <v>648</v>
      </c>
      <c r="B140" s="3">
        <v>-3000900</v>
      </c>
      <c r="C140" s="11">
        <v>1</v>
      </c>
      <c r="D140" s="11">
        <f t="shared" si="6"/>
        <v>935</v>
      </c>
      <c r="E140" s="11">
        <f t="shared" si="7"/>
        <v>0</v>
      </c>
      <c r="F140" s="11">
        <f t="shared" si="5"/>
        <v>-2805841500</v>
      </c>
      <c r="G140" s="11" t="s">
        <v>649</v>
      </c>
    </row>
    <row r="141" spans="1:11">
      <c r="A141" s="11" t="s">
        <v>665</v>
      </c>
      <c r="B141" s="3">
        <v>-3000900</v>
      </c>
      <c r="C141" s="11">
        <v>17</v>
      </c>
      <c r="D141" s="11">
        <f t="shared" si="6"/>
        <v>934</v>
      </c>
      <c r="E141" s="11">
        <f t="shared" si="7"/>
        <v>0</v>
      </c>
      <c r="F141" s="11">
        <f t="shared" si="5"/>
        <v>-2802840600</v>
      </c>
      <c r="G141" s="11" t="s">
        <v>649</v>
      </c>
      <c r="K141" t="s">
        <v>25</v>
      </c>
    </row>
    <row r="142" spans="1:11">
      <c r="A142" s="11" t="s">
        <v>630</v>
      </c>
      <c r="B142" s="3">
        <v>602025</v>
      </c>
      <c r="C142" s="11">
        <v>0</v>
      </c>
      <c r="D142" s="11">
        <f t="shared" si="6"/>
        <v>917</v>
      </c>
      <c r="E142" s="11">
        <f t="shared" si="7"/>
        <v>1</v>
      </c>
      <c r="F142" s="11">
        <f t="shared" si="5"/>
        <v>551454900</v>
      </c>
      <c r="G142" s="11" t="s">
        <v>667</v>
      </c>
    </row>
    <row r="143" spans="1:11">
      <c r="A143" s="11" t="s">
        <v>630</v>
      </c>
      <c r="B143" s="3">
        <v>-46000000</v>
      </c>
      <c r="C143" s="11">
        <v>31</v>
      </c>
      <c r="D143" s="11">
        <f t="shared" si="6"/>
        <v>917</v>
      </c>
      <c r="E143" s="11">
        <f t="shared" si="7"/>
        <v>0</v>
      </c>
      <c r="F143" s="11">
        <f t="shared" si="5"/>
        <v>-42182000000</v>
      </c>
      <c r="G143" s="11" t="s">
        <v>670</v>
      </c>
    </row>
    <row r="144" spans="1:11">
      <c r="A144" s="11" t="s">
        <v>631</v>
      </c>
      <c r="B144" s="3">
        <v>154107</v>
      </c>
      <c r="C144" s="11">
        <v>1</v>
      </c>
      <c r="D144" s="11">
        <f t="shared" si="6"/>
        <v>886</v>
      </c>
      <c r="E144" s="11">
        <f t="shared" si="7"/>
        <v>1</v>
      </c>
      <c r="F144" s="11">
        <f t="shared" si="5"/>
        <v>136384695</v>
      </c>
      <c r="G144" s="11" t="s">
        <v>693</v>
      </c>
    </row>
    <row r="145" spans="1:11">
      <c r="A145" s="11" t="s">
        <v>699</v>
      </c>
      <c r="B145" s="3">
        <v>3000000</v>
      </c>
      <c r="C145" s="11">
        <v>3</v>
      </c>
      <c r="D145" s="11">
        <f t="shared" si="6"/>
        <v>885</v>
      </c>
      <c r="E145" s="11">
        <f t="shared" si="7"/>
        <v>1</v>
      </c>
      <c r="F145" s="11">
        <f t="shared" si="5"/>
        <v>2652000000</v>
      </c>
      <c r="G145" s="11" t="s">
        <v>700</v>
      </c>
    </row>
    <row r="146" spans="1:11">
      <c r="A146" s="11" t="s">
        <v>701</v>
      </c>
      <c r="B146" s="3">
        <v>-200000</v>
      </c>
      <c r="C146" s="11">
        <v>5</v>
      </c>
      <c r="D146" s="11">
        <f t="shared" si="6"/>
        <v>882</v>
      </c>
      <c r="E146" s="11">
        <f t="shared" si="7"/>
        <v>0</v>
      </c>
      <c r="F146" s="11">
        <f t="shared" si="5"/>
        <v>-176400000</v>
      </c>
      <c r="G146" s="11" t="s">
        <v>158</v>
      </c>
    </row>
    <row r="147" spans="1:11">
      <c r="A147" s="11" t="s">
        <v>702</v>
      </c>
      <c r="B147" s="3">
        <v>-200000</v>
      </c>
      <c r="C147" s="11">
        <v>1</v>
      </c>
      <c r="D147" s="11">
        <f t="shared" si="6"/>
        <v>877</v>
      </c>
      <c r="E147" s="11">
        <f t="shared" si="7"/>
        <v>0</v>
      </c>
      <c r="F147" s="11">
        <f t="shared" si="5"/>
        <v>-175400000</v>
      </c>
      <c r="G147" s="11" t="s">
        <v>158</v>
      </c>
      <c r="K147" t="s">
        <v>25</v>
      </c>
    </row>
    <row r="148" spans="1:11">
      <c r="A148" s="11" t="s">
        <v>703</v>
      </c>
      <c r="B148" s="3">
        <v>-200000</v>
      </c>
      <c r="C148" s="11">
        <v>4</v>
      </c>
      <c r="D148" s="11">
        <f t="shared" si="6"/>
        <v>876</v>
      </c>
      <c r="E148" s="11">
        <f t="shared" si="7"/>
        <v>0</v>
      </c>
      <c r="F148" s="11">
        <f t="shared" si="5"/>
        <v>-175200000</v>
      </c>
      <c r="G148" s="11" t="s">
        <v>158</v>
      </c>
    </row>
    <row r="149" spans="1:11">
      <c r="A149" s="11" t="s">
        <v>634</v>
      </c>
      <c r="B149" s="3">
        <v>-200000</v>
      </c>
      <c r="C149" s="11">
        <v>1</v>
      </c>
      <c r="D149" s="11">
        <f t="shared" si="6"/>
        <v>872</v>
      </c>
      <c r="E149" s="11">
        <f t="shared" si="7"/>
        <v>0</v>
      </c>
      <c r="F149" s="11">
        <f t="shared" si="5"/>
        <v>-174400000</v>
      </c>
      <c r="G149" s="11" t="s">
        <v>158</v>
      </c>
    </row>
    <row r="150" spans="1:11">
      <c r="A150" s="11" t="s">
        <v>709</v>
      </c>
      <c r="B150" s="3">
        <v>24073400</v>
      </c>
      <c r="C150" s="11">
        <v>2</v>
      </c>
      <c r="D150" s="11">
        <f t="shared" si="6"/>
        <v>871</v>
      </c>
      <c r="E150" s="11">
        <f t="shared" si="7"/>
        <v>1</v>
      </c>
      <c r="F150" s="11">
        <f t="shared" si="5"/>
        <v>20943858000</v>
      </c>
      <c r="G150" s="11" t="s">
        <v>710</v>
      </c>
    </row>
    <row r="151" spans="1:11">
      <c r="A151" s="11" t="s">
        <v>718</v>
      </c>
      <c r="B151" s="3">
        <v>-200000</v>
      </c>
      <c r="C151" s="11">
        <v>6</v>
      </c>
      <c r="D151" s="11">
        <f t="shared" si="6"/>
        <v>869</v>
      </c>
      <c r="E151" s="11">
        <f t="shared" si="7"/>
        <v>0</v>
      </c>
      <c r="F151" s="11">
        <f t="shared" si="5"/>
        <v>-173800000</v>
      </c>
      <c r="G151" s="11" t="s">
        <v>158</v>
      </c>
    </row>
    <row r="152" spans="1:11">
      <c r="A152" s="11" t="s">
        <v>719</v>
      </c>
      <c r="B152" s="3">
        <v>-30000000</v>
      </c>
      <c r="C152" s="11">
        <v>1</v>
      </c>
      <c r="D152" s="11">
        <f t="shared" si="6"/>
        <v>863</v>
      </c>
      <c r="E152" s="11">
        <f t="shared" si="7"/>
        <v>0</v>
      </c>
      <c r="F152" s="11">
        <f t="shared" si="5"/>
        <v>-25890000000</v>
      </c>
      <c r="G152" s="11" t="s">
        <v>720</v>
      </c>
    </row>
    <row r="153" spans="1:11">
      <c r="A153" s="11" t="s">
        <v>727</v>
      </c>
      <c r="B153" s="3">
        <v>-52000</v>
      </c>
      <c r="C153" s="11">
        <v>0</v>
      </c>
      <c r="D153" s="11">
        <f t="shared" si="6"/>
        <v>862</v>
      </c>
      <c r="E153" s="11">
        <f t="shared" si="7"/>
        <v>0</v>
      </c>
      <c r="F153" s="11">
        <f t="shared" si="5"/>
        <v>-44824000</v>
      </c>
      <c r="G153" s="11" t="s">
        <v>728</v>
      </c>
    </row>
    <row r="154" spans="1:11">
      <c r="A154" s="11" t="s">
        <v>727</v>
      </c>
      <c r="B154" s="3">
        <v>-136000</v>
      </c>
      <c r="C154" s="11">
        <v>5</v>
      </c>
      <c r="D154" s="11">
        <f t="shared" si="6"/>
        <v>862</v>
      </c>
      <c r="E154" s="11">
        <f t="shared" si="7"/>
        <v>0</v>
      </c>
      <c r="F154" s="11">
        <f t="shared" si="5"/>
        <v>-117232000</v>
      </c>
      <c r="G154" s="11" t="s">
        <v>729</v>
      </c>
    </row>
    <row r="155" spans="1:11">
      <c r="A155" s="11" t="s">
        <v>731</v>
      </c>
      <c r="B155" s="3">
        <v>3000000</v>
      </c>
      <c r="C155" s="11">
        <v>1</v>
      </c>
      <c r="D155" s="11">
        <f t="shared" si="6"/>
        <v>857</v>
      </c>
      <c r="E155" s="11">
        <f t="shared" si="7"/>
        <v>1</v>
      </c>
      <c r="F155" s="11">
        <f t="shared" si="5"/>
        <v>2568000000</v>
      </c>
      <c r="G155" s="11" t="s">
        <v>732</v>
      </c>
    </row>
    <row r="156" spans="1:11">
      <c r="A156" s="11" t="s">
        <v>632</v>
      </c>
      <c r="B156" s="3">
        <v>189103</v>
      </c>
      <c r="C156" s="11">
        <v>0</v>
      </c>
      <c r="D156" s="11">
        <f t="shared" si="6"/>
        <v>856</v>
      </c>
      <c r="E156" s="11">
        <f t="shared" si="7"/>
        <v>1</v>
      </c>
      <c r="F156" s="11">
        <f t="shared" si="5"/>
        <v>161683065</v>
      </c>
      <c r="G156" s="11" t="s">
        <v>733</v>
      </c>
    </row>
    <row r="157" spans="1:11">
      <c r="A157" s="11" t="s">
        <v>632</v>
      </c>
      <c r="B157" s="3">
        <v>24227700</v>
      </c>
      <c r="C157" s="11">
        <v>8</v>
      </c>
      <c r="D157" s="11">
        <f t="shared" si="6"/>
        <v>856</v>
      </c>
      <c r="E157" s="11">
        <f t="shared" si="7"/>
        <v>1</v>
      </c>
      <c r="F157" s="11">
        <f t="shared" si="5"/>
        <v>20714683500</v>
      </c>
      <c r="G157" s="11" t="s">
        <v>734</v>
      </c>
    </row>
    <row r="158" spans="1:11">
      <c r="A158" s="11" t="s">
        <v>752</v>
      </c>
      <c r="B158" s="3">
        <v>24295200</v>
      </c>
      <c r="C158" s="11">
        <v>0</v>
      </c>
      <c r="D158" s="11">
        <f t="shared" si="6"/>
        <v>848</v>
      </c>
      <c r="E158" s="11">
        <f t="shared" si="7"/>
        <v>1</v>
      </c>
      <c r="F158" s="11">
        <f t="shared" si="5"/>
        <v>20578034400</v>
      </c>
      <c r="G158" s="11" t="s">
        <v>748</v>
      </c>
    </row>
    <row r="159" spans="1:11">
      <c r="A159" s="11" t="s">
        <v>752</v>
      </c>
      <c r="B159" s="3">
        <v>-201000</v>
      </c>
      <c r="C159" s="11">
        <v>5</v>
      </c>
      <c r="D159" s="11">
        <f t="shared" si="6"/>
        <v>848</v>
      </c>
      <c r="E159" s="11">
        <f t="shared" si="7"/>
        <v>0</v>
      </c>
      <c r="F159" s="11">
        <f t="shared" si="5"/>
        <v>-170448000</v>
      </c>
      <c r="G159" s="11" t="s">
        <v>755</v>
      </c>
    </row>
    <row r="160" spans="1:11">
      <c r="A160" s="11" t="s">
        <v>756</v>
      </c>
      <c r="B160" s="3">
        <v>-200000</v>
      </c>
      <c r="C160" s="11">
        <v>3</v>
      </c>
      <c r="D160" s="11">
        <f t="shared" si="6"/>
        <v>843</v>
      </c>
      <c r="E160" s="11">
        <f t="shared" si="7"/>
        <v>0</v>
      </c>
      <c r="F160" s="11">
        <f t="shared" si="5"/>
        <v>-168600000</v>
      </c>
      <c r="G160" s="11" t="s">
        <v>757</v>
      </c>
    </row>
    <row r="161" spans="1:7">
      <c r="A161" s="11" t="s">
        <v>763</v>
      </c>
      <c r="B161" s="3">
        <v>-200000</v>
      </c>
      <c r="C161" s="11">
        <v>4</v>
      </c>
      <c r="D161" s="11">
        <f t="shared" si="6"/>
        <v>840</v>
      </c>
      <c r="E161" s="11">
        <f t="shared" si="7"/>
        <v>0</v>
      </c>
      <c r="F161" s="11">
        <f t="shared" si="5"/>
        <v>-168000000</v>
      </c>
      <c r="G161" s="11" t="s">
        <v>757</v>
      </c>
    </row>
    <row r="162" spans="1:7">
      <c r="A162" s="11" t="s">
        <v>765</v>
      </c>
      <c r="B162" s="3">
        <v>-200000</v>
      </c>
      <c r="C162" s="11">
        <v>3</v>
      </c>
      <c r="D162" s="11">
        <f t="shared" si="6"/>
        <v>836</v>
      </c>
      <c r="E162" s="11">
        <f t="shared" si="7"/>
        <v>0</v>
      </c>
      <c r="F162" s="11">
        <f t="shared" si="5"/>
        <v>-167200000</v>
      </c>
      <c r="G162" s="11" t="s">
        <v>757</v>
      </c>
    </row>
    <row r="163" spans="1:7">
      <c r="A163" s="11" t="s">
        <v>766</v>
      </c>
      <c r="B163" s="3">
        <v>-200000</v>
      </c>
      <c r="C163" s="11">
        <v>7</v>
      </c>
      <c r="D163" s="11">
        <f t="shared" si="6"/>
        <v>833</v>
      </c>
      <c r="E163" s="11">
        <f t="shared" si="7"/>
        <v>0</v>
      </c>
      <c r="F163" s="11">
        <f t="shared" si="5"/>
        <v>-166600000</v>
      </c>
      <c r="G163" s="11" t="s">
        <v>757</v>
      </c>
    </row>
    <row r="164" spans="1:7">
      <c r="A164" s="11" t="s">
        <v>633</v>
      </c>
      <c r="B164" s="3">
        <v>457674</v>
      </c>
      <c r="C164" s="11">
        <v>3</v>
      </c>
      <c r="D164" s="11">
        <f t="shared" si="6"/>
        <v>826</v>
      </c>
      <c r="E164" s="11">
        <f t="shared" si="7"/>
        <v>1</v>
      </c>
      <c r="F164" s="11">
        <f t="shared" si="5"/>
        <v>377581050</v>
      </c>
      <c r="G164" s="11" t="s">
        <v>770</v>
      </c>
    </row>
    <row r="165" spans="1:7">
      <c r="A165" s="11" t="s">
        <v>775</v>
      </c>
      <c r="B165" s="3">
        <v>2700000</v>
      </c>
      <c r="C165" s="11">
        <v>0</v>
      </c>
      <c r="D165" s="11">
        <f t="shared" si="6"/>
        <v>823</v>
      </c>
      <c r="E165" s="11">
        <f t="shared" si="7"/>
        <v>1</v>
      </c>
      <c r="F165" s="11">
        <f t="shared" si="5"/>
        <v>2219400000</v>
      </c>
      <c r="G165" s="11" t="s">
        <v>776</v>
      </c>
    </row>
    <row r="166" spans="1:7">
      <c r="A166" s="11" t="s">
        <v>775</v>
      </c>
      <c r="B166" s="3">
        <v>2500000</v>
      </c>
      <c r="C166" s="11">
        <v>7</v>
      </c>
      <c r="D166" s="11">
        <f t="shared" si="6"/>
        <v>823</v>
      </c>
      <c r="E166" s="11">
        <f t="shared" si="7"/>
        <v>1</v>
      </c>
      <c r="F166" s="11">
        <f t="shared" si="5"/>
        <v>2055000000</v>
      </c>
      <c r="G166" s="11" t="s">
        <v>777</v>
      </c>
    </row>
    <row r="167" spans="1:7">
      <c r="A167" s="11" t="s">
        <v>789</v>
      </c>
      <c r="B167" s="3">
        <v>-200000</v>
      </c>
      <c r="C167" s="11">
        <v>2</v>
      </c>
      <c r="D167" s="11">
        <f t="shared" si="6"/>
        <v>816</v>
      </c>
      <c r="E167" s="11">
        <f t="shared" si="7"/>
        <v>0</v>
      </c>
      <c r="F167" s="11">
        <f t="shared" si="5"/>
        <v>-163200000</v>
      </c>
      <c r="G167" s="11" t="s">
        <v>502</v>
      </c>
    </row>
    <row r="168" spans="1:7">
      <c r="A168" s="11" t="s">
        <v>791</v>
      </c>
      <c r="B168" s="3">
        <v>-200000</v>
      </c>
      <c r="C168" s="11">
        <v>6</v>
      </c>
      <c r="D168" s="11">
        <f t="shared" si="6"/>
        <v>814</v>
      </c>
      <c r="E168" s="11">
        <f t="shared" si="7"/>
        <v>0</v>
      </c>
      <c r="F168" s="11">
        <f t="shared" si="5"/>
        <v>-162800000</v>
      </c>
      <c r="G168" s="11" t="s">
        <v>502</v>
      </c>
    </row>
    <row r="169" spans="1:7">
      <c r="A169" s="11" t="s">
        <v>793</v>
      </c>
      <c r="B169" s="3">
        <v>-200000</v>
      </c>
      <c r="C169" s="11">
        <v>3</v>
      </c>
      <c r="D169" s="11">
        <f t="shared" si="6"/>
        <v>808</v>
      </c>
      <c r="E169" s="11">
        <f t="shared" si="7"/>
        <v>0</v>
      </c>
      <c r="F169" s="11">
        <f t="shared" si="5"/>
        <v>-161600000</v>
      </c>
      <c r="G169" s="11" t="s">
        <v>502</v>
      </c>
    </row>
    <row r="170" spans="1:7">
      <c r="A170" s="11" t="s">
        <v>798</v>
      </c>
      <c r="B170" s="3">
        <v>-200000</v>
      </c>
      <c r="C170" s="11">
        <v>0</v>
      </c>
      <c r="D170" s="11">
        <f t="shared" si="6"/>
        <v>805</v>
      </c>
      <c r="E170" s="11">
        <f t="shared" si="7"/>
        <v>0</v>
      </c>
      <c r="F170" s="11">
        <f t="shared" si="5"/>
        <v>-161000000</v>
      </c>
      <c r="G170" s="11" t="s">
        <v>502</v>
      </c>
    </row>
    <row r="171" spans="1:7">
      <c r="A171" s="11" t="s">
        <v>798</v>
      </c>
      <c r="B171" s="3">
        <v>3000000</v>
      </c>
      <c r="C171" s="11">
        <v>3</v>
      </c>
      <c r="D171" s="11">
        <f t="shared" si="6"/>
        <v>805</v>
      </c>
      <c r="E171" s="11">
        <f t="shared" si="7"/>
        <v>1</v>
      </c>
      <c r="F171" s="11">
        <f t="shared" si="5"/>
        <v>2412000000</v>
      </c>
      <c r="G171" s="11" t="s">
        <v>799</v>
      </c>
    </row>
    <row r="172" spans="1:7">
      <c r="A172" s="11" t="s">
        <v>800</v>
      </c>
      <c r="B172" s="3">
        <v>-200000</v>
      </c>
      <c r="C172" s="11">
        <v>1</v>
      </c>
      <c r="D172" s="11">
        <f t="shared" si="6"/>
        <v>802</v>
      </c>
      <c r="E172" s="11">
        <f t="shared" si="7"/>
        <v>0</v>
      </c>
      <c r="F172" s="11">
        <f t="shared" si="5"/>
        <v>-160400000</v>
      </c>
      <c r="G172" s="11" t="s">
        <v>158</v>
      </c>
    </row>
    <row r="173" spans="1:7">
      <c r="A173" s="11" t="s">
        <v>800</v>
      </c>
      <c r="B173" s="3">
        <v>3000000</v>
      </c>
      <c r="C173" s="11">
        <v>1</v>
      </c>
      <c r="D173" s="11">
        <f t="shared" si="6"/>
        <v>801</v>
      </c>
      <c r="E173" s="11">
        <f t="shared" si="7"/>
        <v>1</v>
      </c>
      <c r="F173" s="11">
        <f t="shared" si="5"/>
        <v>2400000000</v>
      </c>
      <c r="G173" s="11" t="s">
        <v>802</v>
      </c>
    </row>
    <row r="174" spans="1:7">
      <c r="A174" s="11" t="s">
        <v>801</v>
      </c>
      <c r="B174" s="3">
        <v>2000000</v>
      </c>
      <c r="C174" s="11">
        <v>1</v>
      </c>
      <c r="D174" s="11">
        <f t="shared" si="6"/>
        <v>800</v>
      </c>
      <c r="E174" s="11">
        <f t="shared" si="7"/>
        <v>1</v>
      </c>
      <c r="F174" s="11">
        <f t="shared" si="5"/>
        <v>1598000000</v>
      </c>
      <c r="G174" s="11" t="s">
        <v>803</v>
      </c>
    </row>
    <row r="175" spans="1:7">
      <c r="A175" s="11" t="s">
        <v>801</v>
      </c>
      <c r="B175" s="3">
        <v>1300000</v>
      </c>
      <c r="C175" s="11">
        <v>2</v>
      </c>
      <c r="D175" s="11">
        <f t="shared" si="6"/>
        <v>799</v>
      </c>
      <c r="E175" s="11">
        <f t="shared" si="7"/>
        <v>1</v>
      </c>
      <c r="F175" s="11">
        <f t="shared" si="5"/>
        <v>1037400000</v>
      </c>
      <c r="G175" s="11" t="s">
        <v>804</v>
      </c>
    </row>
    <row r="176" spans="1:7">
      <c r="A176" s="11" t="s">
        <v>805</v>
      </c>
      <c r="B176" s="3">
        <v>-200000</v>
      </c>
      <c r="C176" s="11">
        <v>0</v>
      </c>
      <c r="D176" s="11">
        <f t="shared" si="6"/>
        <v>797</v>
      </c>
      <c r="E176" s="11">
        <f t="shared" si="7"/>
        <v>0</v>
      </c>
      <c r="F176" s="11">
        <f t="shared" si="5"/>
        <v>-159400000</v>
      </c>
      <c r="G176" s="11" t="s">
        <v>757</v>
      </c>
    </row>
    <row r="177" spans="1:7">
      <c r="A177" s="11" t="s">
        <v>805</v>
      </c>
      <c r="B177" s="3">
        <v>1700000</v>
      </c>
      <c r="C177" s="11">
        <v>1</v>
      </c>
      <c r="D177" s="11">
        <f t="shared" si="6"/>
        <v>797</v>
      </c>
      <c r="E177" s="11">
        <f t="shared" si="7"/>
        <v>1</v>
      </c>
      <c r="F177" s="11">
        <f t="shared" si="5"/>
        <v>1353200000</v>
      </c>
      <c r="G177" s="11" t="s">
        <v>806</v>
      </c>
    </row>
    <row r="178" spans="1:7">
      <c r="A178" s="11" t="s">
        <v>807</v>
      </c>
      <c r="B178" s="3">
        <v>-200000</v>
      </c>
      <c r="C178" s="11">
        <v>1</v>
      </c>
      <c r="D178" s="11">
        <f t="shared" si="6"/>
        <v>796</v>
      </c>
      <c r="E178" s="11">
        <f t="shared" si="7"/>
        <v>0</v>
      </c>
      <c r="F178" s="11">
        <f t="shared" si="5"/>
        <v>-159200000</v>
      </c>
      <c r="G178" s="11" t="s">
        <v>502</v>
      </c>
    </row>
    <row r="179" spans="1:7">
      <c r="A179" s="11" t="s">
        <v>809</v>
      </c>
      <c r="B179" s="3">
        <v>571492</v>
      </c>
      <c r="C179" s="11">
        <v>3</v>
      </c>
      <c r="D179" s="11">
        <f t="shared" si="6"/>
        <v>795</v>
      </c>
      <c r="E179" s="11">
        <f t="shared" si="7"/>
        <v>1</v>
      </c>
      <c r="F179" s="11">
        <f t="shared" si="5"/>
        <v>453764648</v>
      </c>
      <c r="G179" s="11" t="s">
        <v>242</v>
      </c>
    </row>
    <row r="180" spans="1:7">
      <c r="A180" s="11" t="s">
        <v>814</v>
      </c>
      <c r="B180" s="3">
        <v>3000000</v>
      </c>
      <c r="C180" s="11">
        <v>7</v>
      </c>
      <c r="D180" s="11">
        <f t="shared" si="6"/>
        <v>792</v>
      </c>
      <c r="E180" s="11">
        <f t="shared" si="7"/>
        <v>1</v>
      </c>
      <c r="F180" s="11">
        <f t="shared" si="5"/>
        <v>2373000000</v>
      </c>
      <c r="G180" s="11" t="s">
        <v>817</v>
      </c>
    </row>
    <row r="181" spans="1:7">
      <c r="A181" s="11" t="s">
        <v>826</v>
      </c>
      <c r="B181" s="3">
        <v>2000000</v>
      </c>
      <c r="C181" s="11">
        <v>8</v>
      </c>
      <c r="D181" s="11">
        <f t="shared" si="6"/>
        <v>785</v>
      </c>
      <c r="E181" s="11">
        <f t="shared" si="7"/>
        <v>1</v>
      </c>
      <c r="F181" s="11">
        <f t="shared" si="5"/>
        <v>1568000000</v>
      </c>
      <c r="G181" s="11" t="s">
        <v>827</v>
      </c>
    </row>
    <row r="182" spans="1:7">
      <c r="A182" s="11" t="s">
        <v>838</v>
      </c>
      <c r="B182" s="3">
        <v>-2200700</v>
      </c>
      <c r="C182" s="11">
        <v>12</v>
      </c>
      <c r="D182" s="11">
        <f t="shared" si="6"/>
        <v>777</v>
      </c>
      <c r="E182" s="11">
        <f t="shared" si="7"/>
        <v>0</v>
      </c>
      <c r="F182" s="11">
        <f t="shared" si="5"/>
        <v>-1709943900</v>
      </c>
      <c r="G182" s="11" t="s">
        <v>840</v>
      </c>
    </row>
    <row r="183" spans="1:7">
      <c r="A183" s="11" t="s">
        <v>848</v>
      </c>
      <c r="B183" s="3">
        <v>675087</v>
      </c>
      <c r="C183" s="11">
        <v>30</v>
      </c>
      <c r="D183" s="11">
        <f t="shared" si="6"/>
        <v>765</v>
      </c>
      <c r="E183" s="11">
        <f t="shared" si="7"/>
        <v>1</v>
      </c>
      <c r="F183" s="11">
        <f t="shared" si="5"/>
        <v>515766468</v>
      </c>
      <c r="G183" s="11" t="s">
        <v>264</v>
      </c>
    </row>
    <row r="184" spans="1:7">
      <c r="A184" s="11" t="s">
        <v>884</v>
      </c>
      <c r="B184" s="3">
        <v>677000</v>
      </c>
      <c r="C184" s="11">
        <v>15</v>
      </c>
      <c r="D184" s="11">
        <f>D185+C184</f>
        <v>735</v>
      </c>
      <c r="E184" s="11">
        <f t="shared" si="7"/>
        <v>1</v>
      </c>
      <c r="F184" s="11">
        <f t="shared" si="5"/>
        <v>496918000</v>
      </c>
      <c r="G184" s="11" t="s">
        <v>400</v>
      </c>
    </row>
    <row r="185" spans="1:7">
      <c r="A185" s="11" t="s">
        <v>909</v>
      </c>
      <c r="B185" s="3">
        <v>-10000</v>
      </c>
      <c r="C185" s="11">
        <v>5</v>
      </c>
      <c r="D185" s="11">
        <f t="shared" si="6"/>
        <v>720</v>
      </c>
      <c r="E185" s="11">
        <f t="shared" si="7"/>
        <v>0</v>
      </c>
      <c r="F185" s="11">
        <f t="shared" si="5"/>
        <v>-7200000</v>
      </c>
      <c r="G185" s="11" t="s">
        <v>915</v>
      </c>
    </row>
    <row r="186" spans="1:7">
      <c r="A186" s="11" t="s">
        <v>926</v>
      </c>
      <c r="B186" s="3">
        <v>-80500000</v>
      </c>
      <c r="C186" s="11">
        <v>5</v>
      </c>
      <c r="D186" s="11">
        <f t="shared" ref="D186:D275" si="8">D187+C186</f>
        <v>715</v>
      </c>
      <c r="E186" s="11">
        <f t="shared" si="7"/>
        <v>0</v>
      </c>
      <c r="F186" s="11">
        <f t="shared" si="5"/>
        <v>-57557500000</v>
      </c>
      <c r="G186" s="11" t="s">
        <v>1015</v>
      </c>
    </row>
    <row r="187" spans="1:7">
      <c r="A187" s="11" t="s">
        <v>1014</v>
      </c>
      <c r="B187" s="3">
        <v>-1100000</v>
      </c>
      <c r="C187" s="11">
        <v>0</v>
      </c>
      <c r="D187" s="11">
        <f t="shared" si="8"/>
        <v>710</v>
      </c>
      <c r="E187" s="11">
        <f t="shared" si="7"/>
        <v>0</v>
      </c>
      <c r="F187" s="11">
        <f t="shared" si="5"/>
        <v>-781000000</v>
      </c>
      <c r="G187" s="11" t="s">
        <v>1015</v>
      </c>
    </row>
    <row r="188" spans="1:7">
      <c r="A188" s="11" t="s">
        <v>1014</v>
      </c>
      <c r="B188" s="3">
        <v>3000000</v>
      </c>
      <c r="C188" s="11">
        <v>1</v>
      </c>
      <c r="D188" s="11">
        <f t="shared" si="8"/>
        <v>710</v>
      </c>
      <c r="E188" s="11">
        <f t="shared" si="7"/>
        <v>1</v>
      </c>
      <c r="F188" s="11">
        <f t="shared" si="5"/>
        <v>2127000000</v>
      </c>
      <c r="G188" s="11" t="s">
        <v>1026</v>
      </c>
    </row>
    <row r="189" spans="1:7">
      <c r="A189" s="11" t="s">
        <v>1025</v>
      </c>
      <c r="B189" s="3">
        <v>2000000</v>
      </c>
      <c r="C189" s="11">
        <v>0</v>
      </c>
      <c r="D189" s="11">
        <f t="shared" si="8"/>
        <v>709</v>
      </c>
      <c r="E189" s="11">
        <f t="shared" si="7"/>
        <v>1</v>
      </c>
      <c r="F189" s="11">
        <f t="shared" si="5"/>
        <v>1416000000</v>
      </c>
      <c r="G189" s="11" t="s">
        <v>1026</v>
      </c>
    </row>
    <row r="190" spans="1:7">
      <c r="A190" s="11" t="s">
        <v>1025</v>
      </c>
      <c r="B190" s="3">
        <v>-5000000</v>
      </c>
      <c r="C190" s="11">
        <v>1</v>
      </c>
      <c r="D190" s="11">
        <f t="shared" si="8"/>
        <v>709</v>
      </c>
      <c r="E190" s="11">
        <f t="shared" si="7"/>
        <v>0</v>
      </c>
      <c r="F190" s="11">
        <f t="shared" si="5"/>
        <v>-3545000000</v>
      </c>
      <c r="G190" s="11" t="s">
        <v>1015</v>
      </c>
    </row>
    <row r="191" spans="1:7">
      <c r="A191" s="11" t="s">
        <v>1031</v>
      </c>
      <c r="B191" s="3">
        <v>483248</v>
      </c>
      <c r="C191" s="11">
        <v>4</v>
      </c>
      <c r="D191" s="11">
        <f t="shared" si="8"/>
        <v>708</v>
      </c>
      <c r="E191" s="11">
        <f t="shared" si="7"/>
        <v>1</v>
      </c>
      <c r="F191" s="11">
        <f t="shared" si="5"/>
        <v>341656336</v>
      </c>
      <c r="G191" s="11" t="s">
        <v>1033</v>
      </c>
    </row>
    <row r="192" spans="1:7">
      <c r="A192" s="11" t="s">
        <v>1059</v>
      </c>
      <c r="B192" s="3">
        <v>-115300</v>
      </c>
      <c r="C192" s="11">
        <v>4</v>
      </c>
      <c r="D192" s="11">
        <f t="shared" si="8"/>
        <v>704</v>
      </c>
      <c r="E192" s="11">
        <f t="shared" si="7"/>
        <v>0</v>
      </c>
      <c r="F192" s="11">
        <f t="shared" si="5"/>
        <v>-81171200</v>
      </c>
      <c r="G192" s="11" t="s">
        <v>1060</v>
      </c>
    </row>
    <row r="193" spans="1:7">
      <c r="A193" s="11" t="s">
        <v>1070</v>
      </c>
      <c r="B193" s="3">
        <v>90000000</v>
      </c>
      <c r="C193" s="11">
        <v>7</v>
      </c>
      <c r="D193" s="11">
        <f t="shared" si="8"/>
        <v>700</v>
      </c>
      <c r="E193" s="11">
        <f t="shared" si="7"/>
        <v>1</v>
      </c>
      <c r="F193" s="11">
        <f t="shared" si="5"/>
        <v>62910000000</v>
      </c>
      <c r="G193" s="11" t="s">
        <v>1071</v>
      </c>
    </row>
    <row r="194" spans="1:7">
      <c r="A194" s="11" t="s">
        <v>1074</v>
      </c>
      <c r="B194" s="3">
        <v>52000000</v>
      </c>
      <c r="C194" s="11">
        <v>0</v>
      </c>
      <c r="D194" s="11">
        <f t="shared" si="8"/>
        <v>693</v>
      </c>
      <c r="E194" s="11">
        <f t="shared" si="7"/>
        <v>1</v>
      </c>
      <c r="F194" s="11">
        <f t="shared" si="5"/>
        <v>35984000000</v>
      </c>
      <c r="G194" s="11" t="s">
        <v>1079</v>
      </c>
    </row>
    <row r="195" spans="1:7">
      <c r="A195" s="11" t="s">
        <v>1074</v>
      </c>
      <c r="B195" s="3">
        <v>25000000</v>
      </c>
      <c r="C195" s="11">
        <v>0</v>
      </c>
      <c r="D195" s="11">
        <f t="shared" si="8"/>
        <v>693</v>
      </c>
      <c r="E195" s="11">
        <f t="shared" si="7"/>
        <v>1</v>
      </c>
      <c r="F195" s="99">
        <f t="shared" si="5"/>
        <v>17300000000</v>
      </c>
      <c r="G195" s="11" t="s">
        <v>1080</v>
      </c>
    </row>
    <row r="196" spans="1:7">
      <c r="A196" s="11" t="s">
        <v>1074</v>
      </c>
      <c r="B196" s="3">
        <v>-168000000</v>
      </c>
      <c r="C196" s="11">
        <v>7</v>
      </c>
      <c r="D196" s="99">
        <f t="shared" si="8"/>
        <v>693</v>
      </c>
      <c r="E196" s="99">
        <f t="shared" si="7"/>
        <v>0</v>
      </c>
      <c r="F196" s="99">
        <f t="shared" si="5"/>
        <v>-116424000000</v>
      </c>
      <c r="G196" s="11" t="s">
        <v>1081</v>
      </c>
    </row>
    <row r="197" spans="1:7">
      <c r="A197" s="11" t="s">
        <v>1127</v>
      </c>
      <c r="B197" s="3">
        <v>-165500</v>
      </c>
      <c r="C197" s="11">
        <v>4</v>
      </c>
      <c r="D197" s="99">
        <f t="shared" si="8"/>
        <v>686</v>
      </c>
      <c r="E197" s="99">
        <f t="shared" si="7"/>
        <v>0</v>
      </c>
      <c r="F197" s="99">
        <f t="shared" si="5"/>
        <v>-113533000</v>
      </c>
      <c r="G197" s="11" t="s">
        <v>1128</v>
      </c>
    </row>
    <row r="198" spans="1:7">
      <c r="A198" s="99" t="s">
        <v>1129</v>
      </c>
      <c r="B198" s="113">
        <v>-200000</v>
      </c>
      <c r="C198" s="99">
        <v>0</v>
      </c>
      <c r="D198" s="99">
        <f t="shared" si="8"/>
        <v>682</v>
      </c>
      <c r="E198" s="99">
        <f t="shared" si="7"/>
        <v>0</v>
      </c>
      <c r="F198" s="99">
        <f t="shared" si="5"/>
        <v>-136400000</v>
      </c>
      <c r="G198" s="99" t="s">
        <v>1130</v>
      </c>
    </row>
    <row r="199" spans="1:7">
      <c r="A199" s="99" t="s">
        <v>1129</v>
      </c>
      <c r="B199" s="113">
        <v>-46981</v>
      </c>
      <c r="C199" s="99">
        <v>3</v>
      </c>
      <c r="D199" s="99">
        <f t="shared" si="8"/>
        <v>682</v>
      </c>
      <c r="E199" s="99">
        <f t="shared" si="7"/>
        <v>0</v>
      </c>
      <c r="F199" s="99">
        <f t="shared" si="5"/>
        <v>-32041042</v>
      </c>
      <c r="G199" s="99" t="s">
        <v>869</v>
      </c>
    </row>
    <row r="200" spans="1:7">
      <c r="A200" s="99" t="s">
        <v>1139</v>
      </c>
      <c r="B200" s="113">
        <v>-4650</v>
      </c>
      <c r="C200" s="99">
        <v>2</v>
      </c>
      <c r="D200" s="99">
        <f t="shared" si="8"/>
        <v>679</v>
      </c>
      <c r="E200" s="99">
        <f t="shared" si="7"/>
        <v>0</v>
      </c>
      <c r="F200" s="99">
        <f t="shared" si="5"/>
        <v>-3157350</v>
      </c>
      <c r="G200" s="99" t="s">
        <v>869</v>
      </c>
    </row>
    <row r="201" spans="1:7">
      <c r="A201" s="99" t="s">
        <v>1141</v>
      </c>
      <c r="B201" s="113">
        <v>159828</v>
      </c>
      <c r="C201" s="99">
        <v>3</v>
      </c>
      <c r="D201" s="99">
        <f t="shared" si="8"/>
        <v>677</v>
      </c>
      <c r="E201" s="99">
        <f t="shared" si="7"/>
        <v>1</v>
      </c>
      <c r="F201" s="99">
        <f t="shared" si="5"/>
        <v>108043728</v>
      </c>
      <c r="G201" s="99" t="s">
        <v>510</v>
      </c>
    </row>
    <row r="202" spans="1:7">
      <c r="A202" s="99" t="s">
        <v>1152</v>
      </c>
      <c r="B202" s="113">
        <v>-300500</v>
      </c>
      <c r="C202" s="99">
        <v>0</v>
      </c>
      <c r="D202" s="99">
        <f t="shared" si="8"/>
        <v>674</v>
      </c>
      <c r="E202" s="99">
        <f t="shared" si="7"/>
        <v>0</v>
      </c>
      <c r="F202" s="99">
        <f t="shared" si="5"/>
        <v>-202537000</v>
      </c>
      <c r="G202" s="99" t="s">
        <v>1156</v>
      </c>
    </row>
    <row r="203" spans="1:7">
      <c r="A203" s="99" t="s">
        <v>1152</v>
      </c>
      <c r="B203" s="113">
        <v>6000000</v>
      </c>
      <c r="C203" s="99">
        <v>2</v>
      </c>
      <c r="D203" s="99">
        <f t="shared" si="8"/>
        <v>674</v>
      </c>
      <c r="E203" s="99">
        <f t="shared" si="7"/>
        <v>1</v>
      </c>
      <c r="F203" s="99">
        <f t="shared" si="5"/>
        <v>4038000000</v>
      </c>
      <c r="G203" s="99" t="s">
        <v>1157</v>
      </c>
    </row>
    <row r="204" spans="1:7">
      <c r="A204" s="99" t="s">
        <v>1161</v>
      </c>
      <c r="B204" s="113">
        <v>-685000</v>
      </c>
      <c r="C204" s="99">
        <v>1</v>
      </c>
      <c r="D204" s="99">
        <f t="shared" si="8"/>
        <v>672</v>
      </c>
      <c r="E204" s="99">
        <f t="shared" si="7"/>
        <v>0</v>
      </c>
      <c r="F204" s="99">
        <f t="shared" si="5"/>
        <v>-460320000</v>
      </c>
      <c r="G204" s="99" t="s">
        <v>1162</v>
      </c>
    </row>
    <row r="205" spans="1:7">
      <c r="A205" s="99" t="s">
        <v>1163</v>
      </c>
      <c r="B205" s="113">
        <v>-3000000</v>
      </c>
      <c r="C205" s="99">
        <v>1</v>
      </c>
      <c r="D205" s="99">
        <f t="shared" si="8"/>
        <v>671</v>
      </c>
      <c r="E205" s="99">
        <f t="shared" si="7"/>
        <v>0</v>
      </c>
      <c r="F205" s="99">
        <f t="shared" si="5"/>
        <v>-2013000000</v>
      </c>
      <c r="G205" s="99" t="s">
        <v>722</v>
      </c>
    </row>
    <row r="206" spans="1:7">
      <c r="A206" s="99" t="s">
        <v>1168</v>
      </c>
      <c r="B206" s="113">
        <v>-156000</v>
      </c>
      <c r="C206" s="99">
        <v>1</v>
      </c>
      <c r="D206" s="99">
        <f t="shared" si="8"/>
        <v>670</v>
      </c>
      <c r="E206" s="99">
        <f t="shared" si="7"/>
        <v>0</v>
      </c>
      <c r="F206" s="99">
        <f t="shared" si="5"/>
        <v>-104520000</v>
      </c>
      <c r="G206" s="99" t="s">
        <v>1169</v>
      </c>
    </row>
    <row r="207" spans="1:7">
      <c r="A207" s="99" t="s">
        <v>1171</v>
      </c>
      <c r="B207" s="113">
        <v>-66000</v>
      </c>
      <c r="C207" s="99">
        <v>1</v>
      </c>
      <c r="D207" s="99">
        <f t="shared" si="8"/>
        <v>669</v>
      </c>
      <c r="E207" s="99">
        <f t="shared" si="7"/>
        <v>0</v>
      </c>
      <c r="F207" s="99">
        <f t="shared" si="5"/>
        <v>-44154000</v>
      </c>
      <c r="G207" s="99" t="s">
        <v>1176</v>
      </c>
    </row>
    <row r="208" spans="1:7">
      <c r="A208" s="99" t="s">
        <v>1177</v>
      </c>
      <c r="B208" s="113">
        <v>-2500900</v>
      </c>
      <c r="C208" s="99">
        <v>2</v>
      </c>
      <c r="D208" s="99">
        <f t="shared" si="8"/>
        <v>668</v>
      </c>
      <c r="E208" s="99">
        <f t="shared" si="7"/>
        <v>0</v>
      </c>
      <c r="F208" s="99">
        <f t="shared" si="5"/>
        <v>-1670601200</v>
      </c>
      <c r="G208" s="99" t="s">
        <v>1184</v>
      </c>
    </row>
    <row r="209" spans="1:7">
      <c r="A209" s="99" t="s">
        <v>1193</v>
      </c>
      <c r="B209" s="113">
        <v>3000000</v>
      </c>
      <c r="C209" s="99">
        <v>0</v>
      </c>
      <c r="D209" s="99">
        <f t="shared" si="8"/>
        <v>666</v>
      </c>
      <c r="E209" s="99">
        <f t="shared" si="7"/>
        <v>1</v>
      </c>
      <c r="F209" s="99">
        <f t="shared" si="5"/>
        <v>1995000000</v>
      </c>
      <c r="G209" s="99" t="s">
        <v>1199</v>
      </c>
    </row>
    <row r="210" spans="1:7">
      <c r="A210" s="99" t="s">
        <v>1193</v>
      </c>
      <c r="B210" s="113">
        <v>-2601400</v>
      </c>
      <c r="C210" s="99">
        <v>2</v>
      </c>
      <c r="D210" s="99">
        <f t="shared" si="8"/>
        <v>666</v>
      </c>
      <c r="E210" s="99">
        <f t="shared" si="7"/>
        <v>0</v>
      </c>
      <c r="F210" s="99">
        <f t="shared" si="5"/>
        <v>-1732532400</v>
      </c>
      <c r="G210" s="99" t="s">
        <v>1200</v>
      </c>
    </row>
    <row r="211" spans="1:7">
      <c r="A211" s="99" t="s">
        <v>1202</v>
      </c>
      <c r="B211" s="113">
        <v>1000000</v>
      </c>
      <c r="C211" s="99">
        <v>2</v>
      </c>
      <c r="D211" s="99">
        <f t="shared" si="8"/>
        <v>664</v>
      </c>
      <c r="E211" s="99">
        <f t="shared" si="7"/>
        <v>1</v>
      </c>
      <c r="F211" s="99">
        <f t="shared" si="5"/>
        <v>663000000</v>
      </c>
      <c r="G211" s="99" t="s">
        <v>1199</v>
      </c>
    </row>
    <row r="212" spans="1:7">
      <c r="A212" s="99" t="s">
        <v>1205</v>
      </c>
      <c r="B212" s="113">
        <v>1350000</v>
      </c>
      <c r="C212" s="99">
        <v>1</v>
      </c>
      <c r="D212" s="99">
        <f t="shared" si="8"/>
        <v>662</v>
      </c>
      <c r="E212" s="99">
        <f t="shared" si="7"/>
        <v>1</v>
      </c>
      <c r="F212" s="99">
        <f t="shared" si="5"/>
        <v>892350000</v>
      </c>
      <c r="G212" s="99" t="s">
        <v>1208</v>
      </c>
    </row>
    <row r="213" spans="1:7">
      <c r="A213" s="99" t="s">
        <v>1211</v>
      </c>
      <c r="B213" s="113">
        <v>-2200000</v>
      </c>
      <c r="C213" s="99">
        <v>0</v>
      </c>
      <c r="D213" s="99">
        <f t="shared" si="8"/>
        <v>661</v>
      </c>
      <c r="E213" s="99">
        <f t="shared" si="7"/>
        <v>0</v>
      </c>
      <c r="F213" s="99">
        <f t="shared" si="5"/>
        <v>-1454200000</v>
      </c>
      <c r="G213" s="99" t="s">
        <v>1212</v>
      </c>
    </row>
    <row r="214" spans="1:7">
      <c r="A214" s="99" t="s">
        <v>1209</v>
      </c>
      <c r="B214" s="113">
        <v>-500500</v>
      </c>
      <c r="C214" s="99">
        <v>3</v>
      </c>
      <c r="D214" s="99">
        <f t="shared" si="8"/>
        <v>661</v>
      </c>
      <c r="E214" s="99">
        <f t="shared" si="7"/>
        <v>0</v>
      </c>
      <c r="F214" s="99">
        <f t="shared" si="5"/>
        <v>-330830500</v>
      </c>
      <c r="G214" s="99" t="s">
        <v>1216</v>
      </c>
    </row>
    <row r="215" spans="1:7">
      <c r="A215" s="99" t="s">
        <v>1219</v>
      </c>
      <c r="B215" s="113">
        <v>-45000</v>
      </c>
      <c r="C215" s="99">
        <v>0</v>
      </c>
      <c r="D215" s="99">
        <f t="shared" si="8"/>
        <v>658</v>
      </c>
      <c r="E215" s="99">
        <f t="shared" si="7"/>
        <v>0</v>
      </c>
      <c r="F215" s="99">
        <f t="shared" si="5"/>
        <v>-29610000</v>
      </c>
      <c r="G215" s="99" t="s">
        <v>1222</v>
      </c>
    </row>
    <row r="216" spans="1:7">
      <c r="A216" s="99" t="s">
        <v>1219</v>
      </c>
      <c r="B216" s="113">
        <v>1000000</v>
      </c>
      <c r="C216" s="99">
        <v>0</v>
      </c>
      <c r="D216" s="99">
        <f t="shared" si="8"/>
        <v>658</v>
      </c>
      <c r="E216" s="99">
        <f t="shared" si="7"/>
        <v>1</v>
      </c>
      <c r="F216" s="99">
        <f t="shared" si="5"/>
        <v>657000000</v>
      </c>
      <c r="G216" s="99" t="s">
        <v>1223</v>
      </c>
    </row>
    <row r="217" spans="1:7">
      <c r="A217" s="99" t="s">
        <v>1219</v>
      </c>
      <c r="B217" s="113">
        <v>-100000</v>
      </c>
      <c r="C217" s="99">
        <v>1</v>
      </c>
      <c r="D217" s="99">
        <f t="shared" si="8"/>
        <v>658</v>
      </c>
      <c r="E217" s="99">
        <f t="shared" si="7"/>
        <v>0</v>
      </c>
      <c r="F217" s="99">
        <f t="shared" si="5"/>
        <v>-65800000</v>
      </c>
      <c r="G217" s="99" t="s">
        <v>502</v>
      </c>
    </row>
    <row r="218" spans="1:7">
      <c r="A218" s="99" t="s">
        <v>1225</v>
      </c>
      <c r="B218" s="113">
        <v>-300000</v>
      </c>
      <c r="C218" s="99">
        <v>3</v>
      </c>
      <c r="D218" s="99">
        <f t="shared" si="8"/>
        <v>657</v>
      </c>
      <c r="E218" s="99">
        <f t="shared" si="7"/>
        <v>0</v>
      </c>
      <c r="F218" s="99">
        <f t="shared" si="5"/>
        <v>-197100000</v>
      </c>
      <c r="G218" s="99" t="s">
        <v>1226</v>
      </c>
    </row>
    <row r="219" spans="1:7">
      <c r="A219" s="99" t="s">
        <v>1238</v>
      </c>
      <c r="B219" s="113">
        <v>-50910</v>
      </c>
      <c r="C219" s="99">
        <v>0</v>
      </c>
      <c r="D219" s="99">
        <f t="shared" si="8"/>
        <v>654</v>
      </c>
      <c r="E219" s="99">
        <f t="shared" si="7"/>
        <v>0</v>
      </c>
      <c r="F219" s="99">
        <f t="shared" si="5"/>
        <v>-33295140</v>
      </c>
      <c r="G219" s="99" t="s">
        <v>1239</v>
      </c>
    </row>
    <row r="220" spans="1:7">
      <c r="A220" s="99" t="s">
        <v>1238</v>
      </c>
      <c r="B220" s="113">
        <v>-550500</v>
      </c>
      <c r="C220" s="99">
        <v>2</v>
      </c>
      <c r="D220" s="99">
        <f t="shared" si="8"/>
        <v>654</v>
      </c>
      <c r="E220" s="99">
        <f t="shared" si="7"/>
        <v>0</v>
      </c>
      <c r="F220" s="99">
        <f t="shared" si="5"/>
        <v>-360027000</v>
      </c>
      <c r="G220" s="99" t="s">
        <v>1240</v>
      </c>
    </row>
    <row r="221" spans="1:7">
      <c r="A221" s="99" t="s">
        <v>3656</v>
      </c>
      <c r="B221" s="113">
        <v>1600000</v>
      </c>
      <c r="C221" s="99">
        <v>1</v>
      </c>
      <c r="D221" s="99">
        <f t="shared" si="8"/>
        <v>652</v>
      </c>
      <c r="E221" s="99">
        <f t="shared" si="7"/>
        <v>1</v>
      </c>
      <c r="F221" s="99">
        <f t="shared" si="5"/>
        <v>1041600000</v>
      </c>
      <c r="G221" s="99" t="s">
        <v>3657</v>
      </c>
    </row>
    <row r="222" spans="1:7">
      <c r="A222" s="99" t="s">
        <v>3658</v>
      </c>
      <c r="B222" s="113">
        <v>-1500700</v>
      </c>
      <c r="C222" s="99">
        <v>5</v>
      </c>
      <c r="D222" s="99">
        <f t="shared" si="8"/>
        <v>651</v>
      </c>
      <c r="E222" s="99">
        <f t="shared" si="7"/>
        <v>0</v>
      </c>
      <c r="F222" s="99">
        <f t="shared" si="5"/>
        <v>-976955700</v>
      </c>
      <c r="G222" s="99" t="s">
        <v>3660</v>
      </c>
    </row>
    <row r="223" spans="1:7">
      <c r="A223" s="99" t="s">
        <v>3668</v>
      </c>
      <c r="B223" s="113">
        <v>8619</v>
      </c>
      <c r="C223" s="99">
        <v>3</v>
      </c>
      <c r="D223" s="99">
        <f t="shared" si="8"/>
        <v>646</v>
      </c>
      <c r="E223" s="99">
        <f t="shared" si="7"/>
        <v>1</v>
      </c>
      <c r="F223" s="99">
        <f t="shared" si="5"/>
        <v>5559255</v>
      </c>
      <c r="G223" s="99" t="s">
        <v>3671</v>
      </c>
    </row>
    <row r="224" spans="1:7">
      <c r="A224" s="11" t="s">
        <v>3675</v>
      </c>
      <c r="B224" s="3">
        <v>3000000</v>
      </c>
      <c r="C224" s="11">
        <v>2</v>
      </c>
      <c r="D224" s="99">
        <f t="shared" si="8"/>
        <v>643</v>
      </c>
      <c r="E224" s="99">
        <f t="shared" si="7"/>
        <v>1</v>
      </c>
      <c r="F224" s="99">
        <f t="shared" si="5"/>
        <v>1926000000</v>
      </c>
      <c r="G224" s="11" t="s">
        <v>1199</v>
      </c>
    </row>
    <row r="225" spans="1:7">
      <c r="A225" s="11" t="s">
        <v>3691</v>
      </c>
      <c r="B225" s="3">
        <v>-3000900</v>
      </c>
      <c r="C225" s="11">
        <v>1</v>
      </c>
      <c r="D225" s="99">
        <f t="shared" si="8"/>
        <v>641</v>
      </c>
      <c r="E225" s="99">
        <f t="shared" si="7"/>
        <v>0</v>
      </c>
      <c r="F225" s="99">
        <f t="shared" si="5"/>
        <v>-1923576900</v>
      </c>
      <c r="G225" s="11" t="s">
        <v>3692</v>
      </c>
    </row>
    <row r="226" spans="1:7">
      <c r="A226" s="99" t="s">
        <v>3697</v>
      </c>
      <c r="B226" s="113">
        <v>3000000</v>
      </c>
      <c r="C226" s="99">
        <v>0</v>
      </c>
      <c r="D226" s="99">
        <f t="shared" si="8"/>
        <v>640</v>
      </c>
      <c r="E226" s="99">
        <f t="shared" si="7"/>
        <v>1</v>
      </c>
      <c r="F226" s="99">
        <f t="shared" si="5"/>
        <v>1917000000</v>
      </c>
      <c r="G226" s="99" t="s">
        <v>616</v>
      </c>
    </row>
    <row r="227" spans="1:7">
      <c r="A227" s="99" t="s">
        <v>3697</v>
      </c>
      <c r="B227" s="113">
        <v>-175400</v>
      </c>
      <c r="C227" s="99">
        <v>1</v>
      </c>
      <c r="D227" s="99">
        <f t="shared" si="8"/>
        <v>640</v>
      </c>
      <c r="E227" s="99">
        <f t="shared" si="7"/>
        <v>0</v>
      </c>
      <c r="F227" s="99">
        <f t="shared" si="5"/>
        <v>-112256000</v>
      </c>
      <c r="G227" s="99" t="s">
        <v>3698</v>
      </c>
    </row>
    <row r="228" spans="1:7">
      <c r="A228" s="99" t="s">
        <v>3701</v>
      </c>
      <c r="B228" s="113">
        <v>-1200500</v>
      </c>
      <c r="C228" s="99">
        <v>0</v>
      </c>
      <c r="D228" s="99">
        <f t="shared" si="8"/>
        <v>639</v>
      </c>
      <c r="E228" s="99">
        <f t="shared" si="7"/>
        <v>0</v>
      </c>
      <c r="F228" s="99">
        <f t="shared" si="5"/>
        <v>-767119500</v>
      </c>
      <c r="G228" s="99" t="s">
        <v>3702</v>
      </c>
    </row>
    <row r="229" spans="1:7">
      <c r="A229" s="99" t="s">
        <v>3701</v>
      </c>
      <c r="B229" s="113">
        <v>-20555</v>
      </c>
      <c r="C229" s="99">
        <v>1</v>
      </c>
      <c r="D229" s="99">
        <f t="shared" si="8"/>
        <v>639</v>
      </c>
      <c r="E229" s="99">
        <f t="shared" si="7"/>
        <v>0</v>
      </c>
      <c r="F229" s="99">
        <f t="shared" si="5"/>
        <v>-13134645</v>
      </c>
      <c r="G229" s="99" t="s">
        <v>653</v>
      </c>
    </row>
    <row r="230" spans="1:7">
      <c r="A230" s="99" t="s">
        <v>3704</v>
      </c>
      <c r="B230" s="113">
        <v>-1014466</v>
      </c>
      <c r="C230" s="99">
        <v>1</v>
      </c>
      <c r="D230" s="99">
        <f t="shared" si="8"/>
        <v>638</v>
      </c>
      <c r="E230" s="99">
        <f t="shared" si="7"/>
        <v>0</v>
      </c>
      <c r="F230" s="99">
        <f t="shared" si="5"/>
        <v>-647229308</v>
      </c>
      <c r="G230" s="99" t="s">
        <v>3705</v>
      </c>
    </row>
    <row r="231" spans="1:7">
      <c r="A231" s="99" t="s">
        <v>3712</v>
      </c>
      <c r="B231" s="113">
        <v>-24225</v>
      </c>
      <c r="C231" s="99">
        <v>1</v>
      </c>
      <c r="D231" s="99">
        <f t="shared" si="8"/>
        <v>637</v>
      </c>
      <c r="E231" s="99">
        <f t="shared" si="7"/>
        <v>0</v>
      </c>
      <c r="F231" s="99">
        <f t="shared" si="5"/>
        <v>-15431325</v>
      </c>
      <c r="G231" s="99" t="s">
        <v>653</v>
      </c>
    </row>
    <row r="232" spans="1:7">
      <c r="A232" s="99" t="s">
        <v>3713</v>
      </c>
      <c r="B232" s="113">
        <v>1100000</v>
      </c>
      <c r="C232" s="99">
        <v>0</v>
      </c>
      <c r="D232" s="99">
        <f t="shared" si="8"/>
        <v>636</v>
      </c>
      <c r="E232" s="99">
        <f t="shared" si="7"/>
        <v>1</v>
      </c>
      <c r="F232" s="99">
        <f t="shared" si="5"/>
        <v>698500000</v>
      </c>
      <c r="G232" s="99" t="s">
        <v>3714</v>
      </c>
    </row>
    <row r="233" spans="1:7">
      <c r="A233" s="99" t="s">
        <v>3713</v>
      </c>
      <c r="B233" s="113">
        <v>-147900</v>
      </c>
      <c r="C233" s="99">
        <v>4</v>
      </c>
      <c r="D233" s="99">
        <f t="shared" si="8"/>
        <v>636</v>
      </c>
      <c r="E233" s="99">
        <f t="shared" si="7"/>
        <v>0</v>
      </c>
      <c r="F233" s="99">
        <f t="shared" si="5"/>
        <v>-94064400</v>
      </c>
      <c r="G233" s="99" t="s">
        <v>3720</v>
      </c>
    </row>
    <row r="234" spans="1:7">
      <c r="A234" s="99" t="s">
        <v>3727</v>
      </c>
      <c r="B234" s="113">
        <v>-67965</v>
      </c>
      <c r="C234" s="99">
        <v>5</v>
      </c>
      <c r="D234" s="99">
        <f t="shared" si="8"/>
        <v>632</v>
      </c>
      <c r="E234" s="99">
        <f t="shared" si="7"/>
        <v>0</v>
      </c>
      <c r="F234" s="99">
        <f t="shared" si="5"/>
        <v>-42953880</v>
      </c>
      <c r="G234" s="99" t="s">
        <v>653</v>
      </c>
    </row>
    <row r="235" spans="1:7">
      <c r="A235" s="99" t="s">
        <v>3753</v>
      </c>
      <c r="B235" s="113">
        <v>-114734</v>
      </c>
      <c r="C235" s="99">
        <v>1</v>
      </c>
      <c r="D235" s="99">
        <f t="shared" si="8"/>
        <v>627</v>
      </c>
      <c r="E235" s="99">
        <f t="shared" si="7"/>
        <v>0</v>
      </c>
      <c r="F235" s="99">
        <f t="shared" si="5"/>
        <v>-71938218</v>
      </c>
      <c r="G235" s="99" t="s">
        <v>3754</v>
      </c>
    </row>
    <row r="236" spans="1:7">
      <c r="A236" s="99" t="s">
        <v>1140</v>
      </c>
      <c r="B236" s="113">
        <v>-360000</v>
      </c>
      <c r="C236" s="99">
        <v>0</v>
      </c>
      <c r="D236" s="99">
        <f t="shared" si="8"/>
        <v>626</v>
      </c>
      <c r="E236" s="99">
        <f t="shared" si="7"/>
        <v>0</v>
      </c>
      <c r="F236" s="99">
        <f t="shared" si="5"/>
        <v>-225360000</v>
      </c>
      <c r="G236" s="99" t="s">
        <v>3755</v>
      </c>
    </row>
    <row r="237" spans="1:7">
      <c r="A237" s="99" t="s">
        <v>1140</v>
      </c>
      <c r="B237" s="113">
        <v>-211000</v>
      </c>
      <c r="C237" s="99">
        <v>0</v>
      </c>
      <c r="D237" s="99">
        <f t="shared" si="8"/>
        <v>626</v>
      </c>
      <c r="E237" s="99">
        <f t="shared" si="7"/>
        <v>0</v>
      </c>
      <c r="F237" s="99">
        <f t="shared" si="5"/>
        <v>-132086000</v>
      </c>
      <c r="G237" s="99" t="s">
        <v>3757</v>
      </c>
    </row>
    <row r="238" spans="1:7">
      <c r="A238" s="99" t="s">
        <v>1140</v>
      </c>
      <c r="B238" s="113">
        <v>-189700</v>
      </c>
      <c r="C238" s="99">
        <v>1</v>
      </c>
      <c r="D238" s="99">
        <f t="shared" si="8"/>
        <v>626</v>
      </c>
      <c r="E238" s="99">
        <f t="shared" si="7"/>
        <v>0</v>
      </c>
      <c r="F238" s="99">
        <f t="shared" si="5"/>
        <v>-118752200</v>
      </c>
      <c r="G238" s="99" t="s">
        <v>3760</v>
      </c>
    </row>
    <row r="239" spans="1:7">
      <c r="A239" s="99" t="s">
        <v>3761</v>
      </c>
      <c r="B239" s="113">
        <v>-400500</v>
      </c>
      <c r="C239" s="99">
        <v>0</v>
      </c>
      <c r="D239" s="99">
        <f t="shared" si="8"/>
        <v>625</v>
      </c>
      <c r="E239" s="99">
        <f t="shared" si="7"/>
        <v>0</v>
      </c>
      <c r="F239" s="99">
        <f t="shared" si="5"/>
        <v>-250312500</v>
      </c>
      <c r="G239" s="99" t="s">
        <v>3762</v>
      </c>
    </row>
    <row r="240" spans="1:7">
      <c r="A240" s="99" t="s">
        <v>3761</v>
      </c>
      <c r="B240" s="113">
        <v>400000</v>
      </c>
      <c r="C240" s="99">
        <v>3</v>
      </c>
      <c r="D240" s="99">
        <f t="shared" si="8"/>
        <v>625</v>
      </c>
      <c r="E240" s="99">
        <f t="shared" si="7"/>
        <v>1</v>
      </c>
      <c r="F240" s="99">
        <f t="shared" si="5"/>
        <v>249600000</v>
      </c>
      <c r="G240" s="99" t="s">
        <v>3763</v>
      </c>
    </row>
    <row r="241" spans="1:7">
      <c r="A241" s="99" t="s">
        <v>3778</v>
      </c>
      <c r="B241" s="113">
        <v>-320875</v>
      </c>
      <c r="C241" s="99">
        <v>7</v>
      </c>
      <c r="D241" s="99">
        <f t="shared" si="8"/>
        <v>622</v>
      </c>
      <c r="E241" s="99">
        <f t="shared" si="7"/>
        <v>0</v>
      </c>
      <c r="F241" s="99">
        <f t="shared" si="5"/>
        <v>-199584250</v>
      </c>
      <c r="G241" s="99" t="s">
        <v>3779</v>
      </c>
    </row>
    <row r="242" spans="1:7">
      <c r="A242" s="99" t="s">
        <v>3788</v>
      </c>
      <c r="B242" s="113">
        <v>6074</v>
      </c>
      <c r="C242" s="99">
        <v>2</v>
      </c>
      <c r="D242" s="99">
        <f t="shared" si="8"/>
        <v>615</v>
      </c>
      <c r="E242" s="99">
        <f t="shared" si="7"/>
        <v>1</v>
      </c>
      <c r="F242" s="99">
        <f t="shared" si="5"/>
        <v>3729436</v>
      </c>
      <c r="G242" s="99" t="s">
        <v>585</v>
      </c>
    </row>
    <row r="243" spans="1:7">
      <c r="A243" s="99" t="s">
        <v>3790</v>
      </c>
      <c r="B243" s="113">
        <v>-370500</v>
      </c>
      <c r="C243" s="99">
        <v>15</v>
      </c>
      <c r="D243" s="99">
        <f t="shared" si="8"/>
        <v>613</v>
      </c>
      <c r="E243" s="99">
        <f t="shared" si="7"/>
        <v>0</v>
      </c>
      <c r="F243" s="99">
        <f t="shared" si="5"/>
        <v>-227116500</v>
      </c>
      <c r="G243" s="99" t="s">
        <v>3791</v>
      </c>
    </row>
    <row r="244" spans="1:7">
      <c r="A244" s="99" t="s">
        <v>3899</v>
      </c>
      <c r="B244" s="113">
        <v>3000000</v>
      </c>
      <c r="C244" s="99">
        <v>2</v>
      </c>
      <c r="D244" s="99">
        <f t="shared" si="8"/>
        <v>598</v>
      </c>
      <c r="E244" s="99">
        <f t="shared" si="7"/>
        <v>1</v>
      </c>
      <c r="F244" s="99">
        <f t="shared" si="5"/>
        <v>1791000000</v>
      </c>
      <c r="G244" s="99" t="s">
        <v>3900</v>
      </c>
    </row>
    <row r="245" spans="1:7">
      <c r="A245" s="99" t="s">
        <v>3907</v>
      </c>
      <c r="B245" s="113">
        <v>-80000</v>
      </c>
      <c r="C245" s="99">
        <v>1</v>
      </c>
      <c r="D245" s="99">
        <f t="shared" si="8"/>
        <v>596</v>
      </c>
      <c r="E245" s="99">
        <f t="shared" si="7"/>
        <v>0</v>
      </c>
      <c r="F245" s="99">
        <f t="shared" si="5"/>
        <v>-47680000</v>
      </c>
      <c r="G245" s="99" t="s">
        <v>502</v>
      </c>
    </row>
    <row r="246" spans="1:7">
      <c r="A246" s="99" t="s">
        <v>3908</v>
      </c>
      <c r="B246" s="113">
        <v>-2700000</v>
      </c>
      <c r="C246" s="99">
        <v>0</v>
      </c>
      <c r="D246" s="99">
        <f t="shared" si="8"/>
        <v>595</v>
      </c>
      <c r="E246" s="99">
        <f t="shared" si="7"/>
        <v>0</v>
      </c>
      <c r="F246" s="99">
        <f t="shared" si="5"/>
        <v>-1606500000</v>
      </c>
      <c r="G246" s="99" t="s">
        <v>3910</v>
      </c>
    </row>
    <row r="247" spans="1:7">
      <c r="A247" s="99" t="s">
        <v>3908</v>
      </c>
      <c r="B247" s="113">
        <v>-30000</v>
      </c>
      <c r="C247" s="99">
        <v>2</v>
      </c>
      <c r="D247" s="99">
        <f t="shared" si="8"/>
        <v>595</v>
      </c>
      <c r="E247" s="99">
        <f t="shared" si="7"/>
        <v>0</v>
      </c>
      <c r="F247" s="99">
        <f t="shared" si="5"/>
        <v>-17850000</v>
      </c>
      <c r="G247" s="99" t="s">
        <v>3910</v>
      </c>
    </row>
    <row r="248" spans="1:7">
      <c r="A248" s="99" t="s">
        <v>3914</v>
      </c>
      <c r="B248" s="113">
        <v>-120000</v>
      </c>
      <c r="C248" s="99">
        <v>1</v>
      </c>
      <c r="D248" s="99">
        <f t="shared" si="8"/>
        <v>593</v>
      </c>
      <c r="E248" s="99">
        <f t="shared" si="7"/>
        <v>0</v>
      </c>
      <c r="F248" s="99">
        <f t="shared" si="5"/>
        <v>-71160000</v>
      </c>
      <c r="G248" s="99" t="s">
        <v>3915</v>
      </c>
    </row>
    <row r="249" spans="1:7">
      <c r="A249" s="74" t="s">
        <v>3932</v>
      </c>
      <c r="B249" s="163">
        <v>-56425</v>
      </c>
      <c r="C249" s="99">
        <v>1</v>
      </c>
      <c r="D249" s="99">
        <f t="shared" si="8"/>
        <v>592</v>
      </c>
      <c r="E249" s="99">
        <f>IF(B250&gt;0,1,0)</f>
        <v>1</v>
      </c>
      <c r="F249" s="99">
        <f t="shared" si="5"/>
        <v>-33347175</v>
      </c>
      <c r="G249" s="74" t="s">
        <v>653</v>
      </c>
    </row>
    <row r="250" spans="1:7">
      <c r="A250" s="99" t="s">
        <v>3922</v>
      </c>
      <c r="B250" s="113">
        <v>800000</v>
      </c>
      <c r="C250" s="99">
        <v>1</v>
      </c>
      <c r="D250" s="99">
        <f t="shared" si="8"/>
        <v>591</v>
      </c>
      <c r="E250" s="99">
        <f>IF(B251&gt;0,1,0)</f>
        <v>0</v>
      </c>
      <c r="F250" s="99">
        <f t="shared" ref="F250:F313" si="9">B250*(D250-E250)</f>
        <v>472800000</v>
      </c>
      <c r="G250" s="99" t="s">
        <v>3887</v>
      </c>
    </row>
    <row r="251" spans="1:7">
      <c r="A251" s="99" t="s">
        <v>3927</v>
      </c>
      <c r="B251" s="113">
        <v>-19450</v>
      </c>
      <c r="C251" s="99">
        <v>0</v>
      </c>
      <c r="D251" s="99">
        <f t="shared" si="8"/>
        <v>590</v>
      </c>
      <c r="E251" s="99">
        <f>IF(B252&gt;0,1,0)</f>
        <v>0</v>
      </c>
      <c r="F251" s="99">
        <f t="shared" si="9"/>
        <v>-11475500</v>
      </c>
      <c r="G251" s="99" t="s">
        <v>3930</v>
      </c>
    </row>
    <row r="252" spans="1:7">
      <c r="A252" s="99" t="s">
        <v>3927</v>
      </c>
      <c r="B252" s="113">
        <v>-500000</v>
      </c>
      <c r="C252" s="99">
        <v>0</v>
      </c>
      <c r="D252" s="99">
        <f t="shared" si="8"/>
        <v>590</v>
      </c>
      <c r="E252" s="99">
        <f>IF(B253&gt;0,1,0)</f>
        <v>1</v>
      </c>
      <c r="F252" s="99">
        <f t="shared" si="9"/>
        <v>-294500000</v>
      </c>
      <c r="G252" s="99" t="s">
        <v>3931</v>
      </c>
    </row>
    <row r="253" spans="1:7">
      <c r="A253" s="99" t="s">
        <v>3927</v>
      </c>
      <c r="B253" s="113">
        <v>500000</v>
      </c>
      <c r="C253" s="99">
        <v>0</v>
      </c>
      <c r="D253" s="99">
        <f t="shared" si="8"/>
        <v>590</v>
      </c>
      <c r="E253" s="99">
        <f t="shared" ref="E253:E275" si="10">IF(B254&gt;0,1,0)</f>
        <v>0</v>
      </c>
      <c r="F253" s="99">
        <f t="shared" si="9"/>
        <v>295000000</v>
      </c>
      <c r="G253" s="99" t="s">
        <v>3931</v>
      </c>
    </row>
    <row r="254" spans="1:7">
      <c r="A254" s="99" t="s">
        <v>3927</v>
      </c>
      <c r="B254" s="113">
        <v>-454613</v>
      </c>
      <c r="C254" s="99">
        <v>1</v>
      </c>
      <c r="D254" s="99">
        <f t="shared" si="8"/>
        <v>590</v>
      </c>
      <c r="E254" s="99">
        <f t="shared" si="10"/>
        <v>0</v>
      </c>
      <c r="F254" s="99">
        <f t="shared" si="9"/>
        <v>-268221670</v>
      </c>
      <c r="G254" s="99" t="s">
        <v>3933</v>
      </c>
    </row>
    <row r="255" spans="1:7">
      <c r="A255" s="99" t="s">
        <v>3935</v>
      </c>
      <c r="B255" s="113">
        <v>-19600</v>
      </c>
      <c r="C255" s="99">
        <v>0</v>
      </c>
      <c r="D255" s="99">
        <f t="shared" si="8"/>
        <v>589</v>
      </c>
      <c r="E255" s="99">
        <f t="shared" si="10"/>
        <v>0</v>
      </c>
      <c r="F255" s="99">
        <f t="shared" si="9"/>
        <v>-11544400</v>
      </c>
      <c r="G255" s="99" t="s">
        <v>3937</v>
      </c>
    </row>
    <row r="256" spans="1:7">
      <c r="A256" s="99" t="s">
        <v>3935</v>
      </c>
      <c r="B256" s="113">
        <v>-25220</v>
      </c>
      <c r="C256" s="99">
        <v>1</v>
      </c>
      <c r="D256" s="99">
        <f t="shared" si="8"/>
        <v>589</v>
      </c>
      <c r="E256" s="99">
        <f t="shared" si="10"/>
        <v>0</v>
      </c>
      <c r="F256" s="99">
        <f t="shared" si="9"/>
        <v>-14854580</v>
      </c>
      <c r="G256" s="99" t="s">
        <v>3754</v>
      </c>
    </row>
    <row r="257" spans="1:11">
      <c r="A257" s="99" t="s">
        <v>3939</v>
      </c>
      <c r="B257" s="113">
        <v>-149500</v>
      </c>
      <c r="C257" s="99">
        <v>0</v>
      </c>
      <c r="D257" s="99">
        <f t="shared" si="8"/>
        <v>588</v>
      </c>
      <c r="E257" s="99">
        <f t="shared" si="10"/>
        <v>0</v>
      </c>
      <c r="F257" s="99">
        <f t="shared" si="9"/>
        <v>-87906000</v>
      </c>
      <c r="G257" s="99" t="s">
        <v>3940</v>
      </c>
    </row>
    <row r="258" spans="1:11">
      <c r="A258" s="99" t="s">
        <v>3939</v>
      </c>
      <c r="B258" s="113">
        <v>-155000</v>
      </c>
      <c r="C258" s="99">
        <v>82</v>
      </c>
      <c r="D258" s="99">
        <f t="shared" si="8"/>
        <v>588</v>
      </c>
      <c r="E258" s="99">
        <f t="shared" si="10"/>
        <v>0</v>
      </c>
      <c r="F258" s="99">
        <f t="shared" si="9"/>
        <v>-91140000</v>
      </c>
      <c r="G258" s="99" t="s">
        <v>3941</v>
      </c>
    </row>
    <row r="259" spans="1:11">
      <c r="A259" s="99" t="s">
        <v>4231</v>
      </c>
      <c r="B259" s="113">
        <v>-5000</v>
      </c>
      <c r="C259" s="99">
        <v>82</v>
      </c>
      <c r="D259" s="99">
        <f t="shared" si="8"/>
        <v>506</v>
      </c>
      <c r="E259" s="99">
        <f t="shared" si="10"/>
        <v>1</v>
      </c>
      <c r="F259" s="99">
        <f t="shared" si="9"/>
        <v>-2525000</v>
      </c>
      <c r="G259" s="99" t="s">
        <v>4238</v>
      </c>
    </row>
    <row r="260" spans="1:11">
      <c r="A260" s="99" t="s">
        <v>4556</v>
      </c>
      <c r="B260" s="113">
        <v>100000</v>
      </c>
      <c r="C260" s="99">
        <v>1</v>
      </c>
      <c r="D260" s="99">
        <f t="shared" si="8"/>
        <v>424</v>
      </c>
      <c r="E260" s="99">
        <f t="shared" si="10"/>
        <v>1</v>
      </c>
      <c r="F260" s="99">
        <f t="shared" si="9"/>
        <v>42300000</v>
      </c>
      <c r="G260" s="99" t="s">
        <v>3887</v>
      </c>
    </row>
    <row r="261" spans="1:11">
      <c r="A261" s="99" t="s">
        <v>991</v>
      </c>
      <c r="B261" s="113">
        <v>3000000</v>
      </c>
      <c r="C261" s="99">
        <v>3</v>
      </c>
      <c r="D261" s="99">
        <f t="shared" si="8"/>
        <v>423</v>
      </c>
      <c r="E261" s="99">
        <f t="shared" si="10"/>
        <v>0</v>
      </c>
      <c r="F261" s="99">
        <f t="shared" si="9"/>
        <v>1269000000</v>
      </c>
      <c r="G261" s="99" t="s">
        <v>3887</v>
      </c>
    </row>
    <row r="262" spans="1:11">
      <c r="A262" s="99" t="s">
        <v>4568</v>
      </c>
      <c r="B262" s="113">
        <v>-66500</v>
      </c>
      <c r="C262" s="99">
        <v>2</v>
      </c>
      <c r="D262" s="99">
        <f t="shared" si="8"/>
        <v>420</v>
      </c>
      <c r="E262" s="99">
        <f t="shared" si="10"/>
        <v>0</v>
      </c>
      <c r="F262" s="99">
        <f t="shared" si="9"/>
        <v>-27930000</v>
      </c>
      <c r="G262" s="99" t="s">
        <v>3960</v>
      </c>
      <c r="K262" t="s">
        <v>25</v>
      </c>
    </row>
    <row r="263" spans="1:11">
      <c r="A263" s="99" t="s">
        <v>4569</v>
      </c>
      <c r="B263" s="113">
        <v>-37878</v>
      </c>
      <c r="C263" s="99">
        <v>2</v>
      </c>
      <c r="D263" s="99">
        <f t="shared" si="8"/>
        <v>418</v>
      </c>
      <c r="E263" s="99">
        <f t="shared" si="10"/>
        <v>0</v>
      </c>
      <c r="F263" s="99">
        <f t="shared" si="9"/>
        <v>-15833004</v>
      </c>
      <c r="G263" s="99" t="s">
        <v>4570</v>
      </c>
      <c r="J263" t="s">
        <v>25</v>
      </c>
      <c r="K263" t="s">
        <v>25</v>
      </c>
    </row>
    <row r="264" spans="1:11">
      <c r="A264" s="99" t="s">
        <v>4565</v>
      </c>
      <c r="B264" s="113">
        <v>-41500</v>
      </c>
      <c r="C264" s="99">
        <v>3</v>
      </c>
      <c r="D264" s="99">
        <f t="shared" si="8"/>
        <v>416</v>
      </c>
      <c r="E264" s="99">
        <f t="shared" si="10"/>
        <v>0</v>
      </c>
      <c r="F264" s="99">
        <f t="shared" si="9"/>
        <v>-17264000</v>
      </c>
      <c r="G264" s="99" t="s">
        <v>1036</v>
      </c>
      <c r="J264" t="s">
        <v>25</v>
      </c>
    </row>
    <row r="265" spans="1:11">
      <c r="A265" s="99" t="s">
        <v>4596</v>
      </c>
      <c r="B265" s="113">
        <v>-190000</v>
      </c>
      <c r="C265" s="99">
        <v>1</v>
      </c>
      <c r="D265" s="99">
        <f t="shared" si="8"/>
        <v>413</v>
      </c>
      <c r="E265" s="99">
        <f t="shared" si="10"/>
        <v>0</v>
      </c>
      <c r="F265" s="99">
        <f t="shared" si="9"/>
        <v>-78470000</v>
      </c>
      <c r="G265" s="99"/>
    </row>
    <row r="266" spans="1:11">
      <c r="A266" s="99" t="s">
        <v>4595</v>
      </c>
      <c r="B266" s="113">
        <v>-55000</v>
      </c>
      <c r="C266" s="99">
        <v>1</v>
      </c>
      <c r="D266" s="99">
        <f t="shared" si="8"/>
        <v>412</v>
      </c>
      <c r="E266" s="99">
        <f t="shared" si="10"/>
        <v>0</v>
      </c>
      <c r="F266" s="99">
        <f t="shared" si="9"/>
        <v>-22660000</v>
      </c>
      <c r="G266" s="99"/>
    </row>
    <row r="267" spans="1:11">
      <c r="A267" s="99" t="s">
        <v>4584</v>
      </c>
      <c r="B267" s="113">
        <v>-29395</v>
      </c>
      <c r="C267" s="99">
        <v>2</v>
      </c>
      <c r="D267" s="99">
        <f t="shared" si="8"/>
        <v>411</v>
      </c>
      <c r="E267" s="99">
        <f t="shared" si="10"/>
        <v>0</v>
      </c>
      <c r="F267" s="99">
        <f t="shared" si="9"/>
        <v>-12081345</v>
      </c>
      <c r="G267" s="99"/>
    </row>
    <row r="268" spans="1:11">
      <c r="A268" s="99" t="s">
        <v>4224</v>
      </c>
      <c r="B268" s="113">
        <v>-50000</v>
      </c>
      <c r="C268" s="99">
        <v>1</v>
      </c>
      <c r="D268" s="99">
        <f t="shared" si="8"/>
        <v>409</v>
      </c>
      <c r="E268" s="99">
        <f t="shared" si="10"/>
        <v>0</v>
      </c>
      <c r="F268" s="99">
        <f t="shared" si="9"/>
        <v>-20450000</v>
      </c>
      <c r="G268" s="99"/>
    </row>
    <row r="269" spans="1:11">
      <c r="A269" s="99" t="s">
        <v>4598</v>
      </c>
      <c r="B269" s="113">
        <v>-80000</v>
      </c>
      <c r="C269" s="99">
        <v>1</v>
      </c>
      <c r="D269" s="99">
        <f t="shared" si="8"/>
        <v>408</v>
      </c>
      <c r="E269" s="99">
        <f t="shared" si="10"/>
        <v>0</v>
      </c>
      <c r="F269" s="99">
        <f t="shared" si="9"/>
        <v>-32640000</v>
      </c>
      <c r="G269" s="99"/>
    </row>
    <row r="270" spans="1:11">
      <c r="A270" s="99" t="s">
        <v>3687</v>
      </c>
      <c r="B270" s="113">
        <v>-98909</v>
      </c>
      <c r="C270" s="99">
        <v>3</v>
      </c>
      <c r="D270" s="99">
        <f t="shared" si="8"/>
        <v>407</v>
      </c>
      <c r="E270" s="99">
        <f t="shared" si="10"/>
        <v>0</v>
      </c>
      <c r="F270" s="99">
        <f t="shared" si="9"/>
        <v>-40255963</v>
      </c>
      <c r="G270" s="99"/>
    </row>
    <row r="271" spans="1:11">
      <c r="A271" s="99" t="s">
        <v>4603</v>
      </c>
      <c r="B271" s="113">
        <v>-9380</v>
      </c>
      <c r="C271" s="99">
        <v>0</v>
      </c>
      <c r="D271" s="99">
        <f t="shared" si="8"/>
        <v>404</v>
      </c>
      <c r="E271" s="99">
        <f t="shared" si="10"/>
        <v>0</v>
      </c>
      <c r="F271" s="99">
        <f t="shared" si="9"/>
        <v>-3789520</v>
      </c>
      <c r="G271" s="99"/>
    </row>
    <row r="272" spans="1:11">
      <c r="A272" s="99" t="s">
        <v>4603</v>
      </c>
      <c r="B272" s="113">
        <v>-2400000</v>
      </c>
      <c r="C272" s="99">
        <v>3</v>
      </c>
      <c r="D272" s="99">
        <f t="shared" si="8"/>
        <v>404</v>
      </c>
      <c r="E272" s="99">
        <f t="shared" si="10"/>
        <v>1</v>
      </c>
      <c r="F272" s="99">
        <f t="shared" si="9"/>
        <v>-967200000</v>
      </c>
      <c r="G272" s="99"/>
    </row>
    <row r="273" spans="1:11">
      <c r="A273" s="99" t="s">
        <v>4613</v>
      </c>
      <c r="B273" s="113">
        <v>15000</v>
      </c>
      <c r="C273" s="99">
        <v>93</v>
      </c>
      <c r="D273" s="99">
        <f t="shared" si="8"/>
        <v>401</v>
      </c>
      <c r="E273" s="99">
        <f t="shared" si="10"/>
        <v>1</v>
      </c>
      <c r="F273" s="99">
        <f t="shared" si="9"/>
        <v>6000000</v>
      </c>
      <c r="G273" s="99"/>
    </row>
    <row r="274" spans="1:11">
      <c r="A274" s="99" t="s">
        <v>4895</v>
      </c>
      <c r="B274" s="113">
        <v>3500000</v>
      </c>
      <c r="C274" s="99">
        <v>0</v>
      </c>
      <c r="D274" s="99">
        <f t="shared" si="8"/>
        <v>308</v>
      </c>
      <c r="E274" s="99">
        <f t="shared" si="10"/>
        <v>0</v>
      </c>
      <c r="F274" s="99">
        <f t="shared" si="9"/>
        <v>1078000000</v>
      </c>
      <c r="G274" s="99"/>
    </row>
    <row r="275" spans="1:11">
      <c r="A275" s="99" t="s">
        <v>4895</v>
      </c>
      <c r="B275" s="113">
        <v>-224012</v>
      </c>
      <c r="C275" s="99">
        <v>2</v>
      </c>
      <c r="D275" s="99">
        <f t="shared" si="8"/>
        <v>308</v>
      </c>
      <c r="E275" s="99">
        <f t="shared" si="10"/>
        <v>0</v>
      </c>
      <c r="F275" s="99">
        <f t="shared" si="9"/>
        <v>-68995696</v>
      </c>
      <c r="G275" s="99"/>
    </row>
    <row r="276" spans="1:11">
      <c r="A276" s="99" t="s">
        <v>4915</v>
      </c>
      <c r="B276" s="113">
        <v>-104671</v>
      </c>
      <c r="C276" s="99">
        <v>1</v>
      </c>
      <c r="D276" s="99">
        <f t="shared" ref="D276:D280" si="11">D277+C276</f>
        <v>306</v>
      </c>
      <c r="E276" s="99">
        <f t="shared" ref="E276:E280" si="12">IF(B277&gt;0,1,0)</f>
        <v>0</v>
      </c>
      <c r="F276" s="99">
        <f t="shared" si="9"/>
        <v>-32029326</v>
      </c>
      <c r="G276" s="99"/>
    </row>
    <row r="277" spans="1:11">
      <c r="A277" s="99" t="s">
        <v>4917</v>
      </c>
      <c r="B277" s="113">
        <v>-272000</v>
      </c>
      <c r="C277" s="99">
        <v>1</v>
      </c>
      <c r="D277" s="99">
        <f t="shared" si="11"/>
        <v>305</v>
      </c>
      <c r="E277" s="99">
        <f t="shared" si="12"/>
        <v>0</v>
      </c>
      <c r="F277" s="99">
        <f t="shared" si="9"/>
        <v>-82960000</v>
      </c>
      <c r="G277" s="99"/>
    </row>
    <row r="278" spans="1:11">
      <c r="A278" s="99" t="s">
        <v>4919</v>
      </c>
      <c r="B278" s="113">
        <v>-2565078</v>
      </c>
      <c r="C278" s="99">
        <v>2</v>
      </c>
      <c r="D278" s="99">
        <f t="shared" si="11"/>
        <v>304</v>
      </c>
      <c r="E278" s="99">
        <f t="shared" si="12"/>
        <v>0</v>
      </c>
      <c r="F278" s="99">
        <f t="shared" si="9"/>
        <v>-779783712</v>
      </c>
      <c r="G278" s="99"/>
    </row>
    <row r="279" spans="1:11">
      <c r="A279" s="99" t="s">
        <v>4867</v>
      </c>
      <c r="B279" s="113">
        <v>-213500</v>
      </c>
      <c r="C279" s="99">
        <v>1</v>
      </c>
      <c r="D279" s="99">
        <f t="shared" si="11"/>
        <v>302</v>
      </c>
      <c r="E279" s="99">
        <f t="shared" si="12"/>
        <v>0</v>
      </c>
      <c r="F279" s="99">
        <f t="shared" si="9"/>
        <v>-64477000</v>
      </c>
      <c r="G279" s="99"/>
    </row>
    <row r="280" spans="1:11">
      <c r="A280" s="99" t="s">
        <v>4936</v>
      </c>
      <c r="B280" s="113">
        <v>-3810</v>
      </c>
      <c r="C280" s="99">
        <v>1</v>
      </c>
      <c r="D280" s="99">
        <f t="shared" si="11"/>
        <v>301</v>
      </c>
      <c r="E280" s="99">
        <f t="shared" si="12"/>
        <v>0</v>
      </c>
      <c r="F280" s="99">
        <f t="shared" si="9"/>
        <v>-1146810</v>
      </c>
      <c r="G280" s="99"/>
      <c r="J280" t="s">
        <v>25</v>
      </c>
    </row>
    <row r="281" spans="1:11">
      <c r="A281" s="99" t="s">
        <v>4937</v>
      </c>
      <c r="B281" s="113">
        <v>-120632</v>
      </c>
      <c r="C281" s="99">
        <v>1</v>
      </c>
      <c r="D281" s="99">
        <f t="shared" ref="D281:D288" si="13">D282+C281</f>
        <v>300</v>
      </c>
      <c r="E281" s="99">
        <f t="shared" ref="E281:E288" si="14">IF(B282&gt;0,1,0)</f>
        <v>1</v>
      </c>
      <c r="F281" s="99">
        <f t="shared" si="9"/>
        <v>-36068968</v>
      </c>
      <c r="G281" s="99"/>
      <c r="J281" t="s">
        <v>25</v>
      </c>
    </row>
    <row r="282" spans="1:11">
      <c r="A282" s="99" t="s">
        <v>4925</v>
      </c>
      <c r="B282" s="113">
        <v>80000</v>
      </c>
      <c r="C282" s="99">
        <v>0</v>
      </c>
      <c r="D282" s="99">
        <f t="shared" si="13"/>
        <v>299</v>
      </c>
      <c r="E282" s="99">
        <f t="shared" si="14"/>
        <v>0</v>
      </c>
      <c r="F282" s="99">
        <f t="shared" si="9"/>
        <v>23920000</v>
      </c>
      <c r="G282" s="99"/>
    </row>
    <row r="283" spans="1:11">
      <c r="A283" s="99" t="s">
        <v>4925</v>
      </c>
      <c r="B283" s="113">
        <v>-2500</v>
      </c>
      <c r="C283" s="99">
        <v>1</v>
      </c>
      <c r="D283" s="99">
        <f t="shared" si="13"/>
        <v>299</v>
      </c>
      <c r="E283" s="99">
        <f t="shared" si="14"/>
        <v>0</v>
      </c>
      <c r="F283" s="99">
        <f t="shared" si="9"/>
        <v>-747500</v>
      </c>
      <c r="G283" s="99"/>
      <c r="J283" s="114">
        <f>B392-498804</f>
        <v>2592458</v>
      </c>
    </row>
    <row r="284" spans="1:11">
      <c r="A284" s="99" t="s">
        <v>4930</v>
      </c>
      <c r="B284" s="113">
        <v>-30000</v>
      </c>
      <c r="C284" s="99">
        <v>1</v>
      </c>
      <c r="D284" s="99">
        <f t="shared" si="13"/>
        <v>298</v>
      </c>
      <c r="E284" s="99">
        <f t="shared" si="14"/>
        <v>0</v>
      </c>
      <c r="F284" s="99">
        <f t="shared" si="9"/>
        <v>-8940000</v>
      </c>
      <c r="G284" s="99"/>
    </row>
    <row r="285" spans="1:11">
      <c r="A285" s="99" t="s">
        <v>4938</v>
      </c>
      <c r="B285" s="113">
        <v>-19800</v>
      </c>
      <c r="C285" s="99">
        <v>1</v>
      </c>
      <c r="D285" s="99">
        <f t="shared" si="13"/>
        <v>297</v>
      </c>
      <c r="E285" s="99">
        <f t="shared" si="14"/>
        <v>1</v>
      </c>
      <c r="F285" s="99">
        <f t="shared" si="9"/>
        <v>-5860800</v>
      </c>
      <c r="G285" s="99"/>
      <c r="K285" t="s">
        <v>25</v>
      </c>
    </row>
    <row r="286" spans="1:11">
      <c r="A286" s="99" t="s">
        <v>4929</v>
      </c>
      <c r="B286" s="113">
        <v>940000</v>
      </c>
      <c r="C286" s="99">
        <v>0</v>
      </c>
      <c r="D286" s="99">
        <f t="shared" si="13"/>
        <v>296</v>
      </c>
      <c r="E286" s="99">
        <f t="shared" si="14"/>
        <v>0</v>
      </c>
      <c r="F286" s="99">
        <f t="shared" si="9"/>
        <v>278240000</v>
      </c>
      <c r="G286" s="99"/>
    </row>
    <row r="287" spans="1:11">
      <c r="A287" s="99" t="s">
        <v>4929</v>
      </c>
      <c r="B287" s="113">
        <v>-201000</v>
      </c>
      <c r="C287" s="99">
        <v>1</v>
      </c>
      <c r="D287" s="99">
        <f t="shared" si="13"/>
        <v>296</v>
      </c>
      <c r="E287" s="99">
        <f t="shared" si="14"/>
        <v>0</v>
      </c>
      <c r="F287" s="99">
        <f t="shared" si="9"/>
        <v>-59496000</v>
      </c>
      <c r="G287" s="99"/>
    </row>
    <row r="288" spans="1:11">
      <c r="A288" s="99" t="s">
        <v>4934</v>
      </c>
      <c r="B288" s="113">
        <v>-320930</v>
      </c>
      <c r="C288" s="99">
        <v>3</v>
      </c>
      <c r="D288" s="99">
        <f t="shared" si="13"/>
        <v>295</v>
      </c>
      <c r="E288" s="99">
        <f t="shared" si="14"/>
        <v>0</v>
      </c>
      <c r="F288" s="99">
        <f t="shared" si="9"/>
        <v>-94674350</v>
      </c>
      <c r="G288" s="99"/>
    </row>
    <row r="289" spans="1:10">
      <c r="A289" s="99" t="s">
        <v>4935</v>
      </c>
      <c r="B289" s="113">
        <v>-400000</v>
      </c>
      <c r="C289" s="99">
        <v>1</v>
      </c>
      <c r="D289" s="99">
        <f t="shared" ref="D289:D306" si="15">D290+C289</f>
        <v>292</v>
      </c>
      <c r="E289" s="99">
        <f t="shared" ref="E289:E306" si="16">IF(B290&gt;0,1,0)</f>
        <v>0</v>
      </c>
      <c r="F289" s="99">
        <f t="shared" si="9"/>
        <v>-116800000</v>
      </c>
      <c r="G289" s="99"/>
    </row>
    <row r="290" spans="1:10">
      <c r="A290" s="99" t="s">
        <v>4942</v>
      </c>
      <c r="B290" s="113">
        <v>-16500</v>
      </c>
      <c r="C290" s="99">
        <v>11</v>
      </c>
      <c r="D290" s="99">
        <f t="shared" si="15"/>
        <v>291</v>
      </c>
      <c r="E290" s="99">
        <f t="shared" si="16"/>
        <v>1</v>
      </c>
      <c r="F290" s="99">
        <f t="shared" si="9"/>
        <v>-4785000</v>
      </c>
      <c r="G290" s="99"/>
    </row>
    <row r="291" spans="1:10">
      <c r="A291" s="99" t="s">
        <v>4964</v>
      </c>
      <c r="B291" s="113">
        <v>2600000</v>
      </c>
      <c r="C291" s="99">
        <v>2</v>
      </c>
      <c r="D291" s="99">
        <f t="shared" si="15"/>
        <v>280</v>
      </c>
      <c r="E291" s="99">
        <f t="shared" si="16"/>
        <v>0</v>
      </c>
      <c r="F291" s="99">
        <f t="shared" si="9"/>
        <v>728000000</v>
      </c>
      <c r="G291" s="99"/>
      <c r="I291" t="s">
        <v>25</v>
      </c>
    </row>
    <row r="292" spans="1:10">
      <c r="A292" s="99" t="s">
        <v>4965</v>
      </c>
      <c r="B292" s="113">
        <v>-1170000</v>
      </c>
      <c r="C292" s="99">
        <v>0</v>
      </c>
      <c r="D292" s="99">
        <f t="shared" si="15"/>
        <v>278</v>
      </c>
      <c r="E292" s="99">
        <f t="shared" si="16"/>
        <v>0</v>
      </c>
      <c r="F292" s="99">
        <f t="shared" si="9"/>
        <v>-325260000</v>
      </c>
      <c r="G292" s="99" t="s">
        <v>4966</v>
      </c>
      <c r="J292" t="s">
        <v>25</v>
      </c>
    </row>
    <row r="293" spans="1:10">
      <c r="A293" s="99" t="s">
        <v>4965</v>
      </c>
      <c r="B293" s="113">
        <v>-9000</v>
      </c>
      <c r="C293" s="99">
        <v>1</v>
      </c>
      <c r="D293" s="99">
        <f t="shared" si="15"/>
        <v>278</v>
      </c>
      <c r="E293" s="99">
        <f t="shared" si="16"/>
        <v>0</v>
      </c>
      <c r="F293" s="99">
        <f t="shared" si="9"/>
        <v>-2502000</v>
      </c>
      <c r="G293" s="99"/>
    </row>
    <row r="294" spans="1:10">
      <c r="A294" s="99" t="s">
        <v>4967</v>
      </c>
      <c r="B294" s="113">
        <v>-1145000</v>
      </c>
      <c r="C294" s="99">
        <v>0</v>
      </c>
      <c r="D294" s="99">
        <f t="shared" si="15"/>
        <v>277</v>
      </c>
      <c r="E294" s="99">
        <f t="shared" si="16"/>
        <v>0</v>
      </c>
      <c r="F294" s="99">
        <f t="shared" si="9"/>
        <v>-317165000</v>
      </c>
      <c r="G294" s="99" t="s">
        <v>4968</v>
      </c>
    </row>
    <row r="295" spans="1:10">
      <c r="A295" s="99" t="s">
        <v>4967</v>
      </c>
      <c r="B295" s="113">
        <v>-94549</v>
      </c>
      <c r="C295" s="99">
        <v>2</v>
      </c>
      <c r="D295" s="99">
        <f t="shared" si="15"/>
        <v>277</v>
      </c>
      <c r="E295" s="99">
        <f t="shared" si="16"/>
        <v>0</v>
      </c>
      <c r="F295" s="99">
        <f t="shared" si="9"/>
        <v>-26190073</v>
      </c>
      <c r="G295" s="99" t="s">
        <v>506</v>
      </c>
      <c r="J295" t="s">
        <v>25</v>
      </c>
    </row>
    <row r="296" spans="1:10">
      <c r="A296" s="99" t="s">
        <v>5143</v>
      </c>
      <c r="B296" s="113">
        <v>-3500</v>
      </c>
      <c r="C296" s="99">
        <v>1</v>
      </c>
      <c r="D296" s="99">
        <f t="shared" si="15"/>
        <v>275</v>
      </c>
      <c r="E296" s="99">
        <f t="shared" si="16"/>
        <v>0</v>
      </c>
      <c r="F296" s="99">
        <f t="shared" si="9"/>
        <v>-962500</v>
      </c>
      <c r="G296" s="99"/>
      <c r="I296" s="114">
        <f>B392-735892</f>
        <v>2355370</v>
      </c>
    </row>
    <row r="297" spans="1:10">
      <c r="A297" s="99" t="s">
        <v>4976</v>
      </c>
      <c r="B297" s="113">
        <v>-44900</v>
      </c>
      <c r="C297" s="99">
        <v>0</v>
      </c>
      <c r="D297" s="99">
        <f t="shared" si="15"/>
        <v>274</v>
      </c>
      <c r="E297" s="99">
        <f t="shared" si="16"/>
        <v>0</v>
      </c>
      <c r="F297" s="99">
        <f t="shared" si="9"/>
        <v>-12302600</v>
      </c>
      <c r="G297" s="99"/>
    </row>
    <row r="298" spans="1:10">
      <c r="A298" s="99" t="s">
        <v>4976</v>
      </c>
      <c r="B298" s="113">
        <v>-50000</v>
      </c>
      <c r="C298" s="99">
        <v>10</v>
      </c>
      <c r="D298" s="99">
        <f t="shared" si="15"/>
        <v>274</v>
      </c>
      <c r="E298" s="99">
        <f t="shared" si="16"/>
        <v>0</v>
      </c>
      <c r="F298" s="99">
        <f t="shared" si="9"/>
        <v>-13700000</v>
      </c>
      <c r="G298" s="99" t="s">
        <v>506</v>
      </c>
    </row>
    <row r="299" spans="1:10">
      <c r="A299" s="99" t="s">
        <v>4996</v>
      </c>
      <c r="B299" s="113">
        <v>-19850</v>
      </c>
      <c r="C299" s="99">
        <v>1</v>
      </c>
      <c r="D299" s="99">
        <f t="shared" si="15"/>
        <v>264</v>
      </c>
      <c r="E299" s="99">
        <f t="shared" si="16"/>
        <v>0</v>
      </c>
      <c r="F299" s="99">
        <f t="shared" si="9"/>
        <v>-5240400</v>
      </c>
      <c r="G299" s="99"/>
    </row>
    <row r="300" spans="1:10">
      <c r="A300" s="99" t="s">
        <v>4997</v>
      </c>
      <c r="B300" s="113">
        <v>-39770</v>
      </c>
      <c r="C300" s="99">
        <v>6</v>
      </c>
      <c r="D300" s="99">
        <f t="shared" si="15"/>
        <v>263</v>
      </c>
      <c r="E300" s="99">
        <f t="shared" si="16"/>
        <v>0</v>
      </c>
      <c r="F300" s="99">
        <f t="shared" si="9"/>
        <v>-10459510</v>
      </c>
      <c r="G300" s="99"/>
    </row>
    <row r="301" spans="1:10">
      <c r="A301" s="99" t="s">
        <v>5019</v>
      </c>
      <c r="B301" s="113">
        <v>-40000</v>
      </c>
      <c r="C301" s="99">
        <v>71</v>
      </c>
      <c r="D301" s="99">
        <f t="shared" si="15"/>
        <v>257</v>
      </c>
      <c r="E301" s="99">
        <f t="shared" si="16"/>
        <v>1</v>
      </c>
      <c r="F301" s="99">
        <f t="shared" si="9"/>
        <v>-10240000</v>
      </c>
      <c r="G301" s="99"/>
    </row>
    <row r="302" spans="1:10">
      <c r="A302" s="99" t="s">
        <v>5132</v>
      </c>
      <c r="B302" s="113">
        <v>4000000</v>
      </c>
      <c r="C302" s="99">
        <v>1</v>
      </c>
      <c r="D302" s="99">
        <f t="shared" si="15"/>
        <v>186</v>
      </c>
      <c r="E302" s="99">
        <f t="shared" si="16"/>
        <v>0</v>
      </c>
      <c r="F302" s="99">
        <f t="shared" si="9"/>
        <v>744000000</v>
      </c>
      <c r="G302" s="99"/>
    </row>
    <row r="303" spans="1:10">
      <c r="A303" s="99" t="s">
        <v>5136</v>
      </c>
      <c r="B303" s="113">
        <v>-123860</v>
      </c>
      <c r="C303" s="99">
        <v>1</v>
      </c>
      <c r="D303" s="99">
        <f t="shared" si="15"/>
        <v>185</v>
      </c>
      <c r="E303" s="99">
        <f t="shared" si="16"/>
        <v>0</v>
      </c>
      <c r="F303" s="99">
        <f t="shared" si="9"/>
        <v>-22914100</v>
      </c>
      <c r="G303" s="99"/>
    </row>
    <row r="304" spans="1:10">
      <c r="A304" s="99" t="s">
        <v>5098</v>
      </c>
      <c r="B304" s="113">
        <v>-1660000</v>
      </c>
      <c r="C304" s="99">
        <v>1</v>
      </c>
      <c r="D304" s="99">
        <f t="shared" si="15"/>
        <v>184</v>
      </c>
      <c r="E304" s="99">
        <f t="shared" si="16"/>
        <v>0</v>
      </c>
      <c r="F304" s="99">
        <f t="shared" si="9"/>
        <v>-305440000</v>
      </c>
      <c r="G304" s="99"/>
    </row>
    <row r="305" spans="1:11">
      <c r="A305" s="99" t="s">
        <v>5142</v>
      </c>
      <c r="B305" s="113">
        <v>-63857</v>
      </c>
      <c r="C305" s="99">
        <v>0</v>
      </c>
      <c r="D305" s="99">
        <f t="shared" si="15"/>
        <v>183</v>
      </c>
      <c r="E305" s="99">
        <f t="shared" si="16"/>
        <v>0</v>
      </c>
      <c r="F305" s="99">
        <f t="shared" si="9"/>
        <v>-11685831</v>
      </c>
      <c r="G305" s="99"/>
    </row>
    <row r="306" spans="1:11">
      <c r="A306" s="99" t="s">
        <v>5144</v>
      </c>
      <c r="B306" s="113">
        <v>-631</v>
      </c>
      <c r="C306" s="99">
        <v>2</v>
      </c>
      <c r="D306" s="99">
        <f t="shared" si="15"/>
        <v>183</v>
      </c>
      <c r="E306" s="99">
        <f t="shared" si="16"/>
        <v>0</v>
      </c>
      <c r="F306" s="99">
        <f t="shared" si="9"/>
        <v>-115473</v>
      </c>
      <c r="G306" s="99" t="s">
        <v>506</v>
      </c>
      <c r="J306" t="s">
        <v>25</v>
      </c>
    </row>
    <row r="307" spans="1:11">
      <c r="A307" s="99" t="s">
        <v>5148</v>
      </c>
      <c r="B307" s="113">
        <v>-248905</v>
      </c>
      <c r="C307" s="99">
        <v>2</v>
      </c>
      <c r="D307" s="99">
        <f t="shared" ref="D307:D318" si="17">D308+C307</f>
        <v>181</v>
      </c>
      <c r="E307" s="99">
        <f t="shared" ref="E307:E318" si="18">IF(B308&gt;0,1,0)</f>
        <v>0</v>
      </c>
      <c r="F307" s="99">
        <f t="shared" si="9"/>
        <v>-45051805</v>
      </c>
      <c r="G307" s="99"/>
    </row>
    <row r="308" spans="1:11">
      <c r="A308" s="99" t="s">
        <v>5146</v>
      </c>
      <c r="B308" s="113">
        <v>-200000</v>
      </c>
      <c r="C308" s="99">
        <v>0</v>
      </c>
      <c r="D308" s="99">
        <f t="shared" si="17"/>
        <v>179</v>
      </c>
      <c r="E308" s="99">
        <f t="shared" si="18"/>
        <v>0</v>
      </c>
      <c r="F308" s="99">
        <f t="shared" si="9"/>
        <v>-35800000</v>
      </c>
      <c r="G308" s="99"/>
    </row>
    <row r="309" spans="1:11">
      <c r="A309" s="99" t="s">
        <v>5146</v>
      </c>
      <c r="B309" s="113">
        <v>-200000</v>
      </c>
      <c r="C309" s="99">
        <v>3</v>
      </c>
      <c r="D309" s="99">
        <f t="shared" si="17"/>
        <v>179</v>
      </c>
      <c r="E309" s="99">
        <f t="shared" si="18"/>
        <v>0</v>
      </c>
      <c r="F309" s="99">
        <f t="shared" si="9"/>
        <v>-35800000</v>
      </c>
      <c r="G309" s="99"/>
    </row>
    <row r="310" spans="1:11">
      <c r="A310" s="99" t="s">
        <v>5153</v>
      </c>
      <c r="B310" s="113">
        <v>-832590</v>
      </c>
      <c r="C310" s="99">
        <v>0</v>
      </c>
      <c r="D310" s="99">
        <f t="shared" si="17"/>
        <v>176</v>
      </c>
      <c r="E310" s="99">
        <f t="shared" si="18"/>
        <v>0</v>
      </c>
      <c r="F310" s="99">
        <f t="shared" si="9"/>
        <v>-146535840</v>
      </c>
      <c r="G310" s="99"/>
    </row>
    <row r="311" spans="1:11">
      <c r="A311" s="99" t="s">
        <v>5153</v>
      </c>
      <c r="B311" s="113">
        <v>-29950</v>
      </c>
      <c r="C311" s="99">
        <v>1</v>
      </c>
      <c r="D311" s="99">
        <f t="shared" si="17"/>
        <v>176</v>
      </c>
      <c r="E311" s="99">
        <f t="shared" si="18"/>
        <v>0</v>
      </c>
      <c r="F311" s="99">
        <f t="shared" si="9"/>
        <v>-5271200</v>
      </c>
      <c r="G311" s="99"/>
      <c r="K311" t="s">
        <v>25</v>
      </c>
    </row>
    <row r="312" spans="1:11">
      <c r="A312" s="99" t="s">
        <v>5195</v>
      </c>
      <c r="B312" s="113">
        <v>-8500</v>
      </c>
      <c r="C312" s="99">
        <v>1</v>
      </c>
      <c r="D312" s="99">
        <f t="shared" si="17"/>
        <v>175</v>
      </c>
      <c r="E312" s="99">
        <f t="shared" si="18"/>
        <v>0</v>
      </c>
      <c r="F312" s="99">
        <f t="shared" si="9"/>
        <v>-1487500</v>
      </c>
      <c r="G312" s="99"/>
    </row>
    <row r="313" spans="1:11">
      <c r="A313" s="99" t="s">
        <v>5171</v>
      </c>
      <c r="B313" s="113">
        <v>-116300</v>
      </c>
      <c r="C313" s="99">
        <v>1</v>
      </c>
      <c r="D313" s="99">
        <f t="shared" si="17"/>
        <v>174</v>
      </c>
      <c r="E313" s="99">
        <f t="shared" si="18"/>
        <v>0</v>
      </c>
      <c r="F313" s="99">
        <f t="shared" si="9"/>
        <v>-20236200</v>
      </c>
      <c r="G313" s="99"/>
    </row>
    <row r="314" spans="1:11">
      <c r="A314" s="99" t="s">
        <v>5156</v>
      </c>
      <c r="B314" s="113">
        <v>-75500</v>
      </c>
      <c r="C314" s="99">
        <v>1</v>
      </c>
      <c r="D314" s="99">
        <f t="shared" si="17"/>
        <v>173</v>
      </c>
      <c r="E314" s="99">
        <f t="shared" si="18"/>
        <v>0</v>
      </c>
      <c r="F314" s="99">
        <f t="shared" ref="F314:F331" si="19">B314*(D314-E314)</f>
        <v>-13061500</v>
      </c>
      <c r="G314" s="99"/>
    </row>
    <row r="315" spans="1:11">
      <c r="A315" s="99" t="s">
        <v>5166</v>
      </c>
      <c r="B315" s="113">
        <v>-331250</v>
      </c>
      <c r="C315" s="99">
        <v>2</v>
      </c>
      <c r="D315" s="99">
        <f t="shared" si="17"/>
        <v>172</v>
      </c>
      <c r="E315" s="99">
        <f t="shared" si="18"/>
        <v>0</v>
      </c>
      <c r="F315" s="99">
        <f t="shared" si="19"/>
        <v>-56975000</v>
      </c>
      <c r="G315" s="99"/>
    </row>
    <row r="316" spans="1:11">
      <c r="A316" s="99" t="s">
        <v>5196</v>
      </c>
      <c r="B316" s="113">
        <v>-39000</v>
      </c>
      <c r="C316" s="99">
        <v>1</v>
      </c>
      <c r="D316" s="99">
        <f t="shared" si="17"/>
        <v>170</v>
      </c>
      <c r="E316" s="99">
        <f t="shared" si="18"/>
        <v>0</v>
      </c>
      <c r="F316" s="99">
        <f t="shared" si="19"/>
        <v>-6630000</v>
      </c>
      <c r="G316" s="99"/>
      <c r="I316" s="114"/>
    </row>
    <row r="317" spans="1:11">
      <c r="A317" s="99" t="s">
        <v>5168</v>
      </c>
      <c r="B317" s="113">
        <v>-44000</v>
      </c>
      <c r="C317" s="99">
        <v>3</v>
      </c>
      <c r="D317" s="99">
        <f t="shared" si="17"/>
        <v>169</v>
      </c>
      <c r="E317" s="99">
        <f t="shared" si="18"/>
        <v>0</v>
      </c>
      <c r="F317" s="99">
        <f t="shared" si="19"/>
        <v>-7436000</v>
      </c>
      <c r="G317" s="99"/>
      <c r="J317" t="s">
        <v>25</v>
      </c>
    </row>
    <row r="318" spans="1:11">
      <c r="A318" s="99" t="s">
        <v>5114</v>
      </c>
      <c r="B318" s="113">
        <v>-30476</v>
      </c>
      <c r="C318" s="99">
        <v>1</v>
      </c>
      <c r="D318" s="99">
        <f t="shared" si="17"/>
        <v>166</v>
      </c>
      <c r="E318" s="99">
        <f t="shared" si="18"/>
        <v>0</v>
      </c>
      <c r="F318" s="99">
        <f t="shared" si="19"/>
        <v>-5059016</v>
      </c>
      <c r="G318" s="99"/>
    </row>
    <row r="319" spans="1:11">
      <c r="A319" s="99" t="s">
        <v>5174</v>
      </c>
      <c r="B319" s="113">
        <v>-4000</v>
      </c>
      <c r="C319" s="99">
        <v>11</v>
      </c>
      <c r="D319" s="99">
        <f t="shared" ref="D319:D326" si="20">D320+C319</f>
        <v>165</v>
      </c>
      <c r="E319" s="99">
        <f t="shared" ref="E319:E326" si="21">IF(B320&gt;0,1,0)</f>
        <v>1</v>
      </c>
      <c r="F319" s="99">
        <f t="shared" si="19"/>
        <v>-656000</v>
      </c>
      <c r="G319" s="99"/>
    </row>
    <row r="320" spans="1:11">
      <c r="A320" s="99" t="s">
        <v>5197</v>
      </c>
      <c r="B320" s="113">
        <v>6300000</v>
      </c>
      <c r="C320" s="99">
        <v>1</v>
      </c>
      <c r="D320" s="99">
        <f t="shared" si="20"/>
        <v>154</v>
      </c>
      <c r="E320" s="99">
        <f t="shared" si="21"/>
        <v>0</v>
      </c>
      <c r="F320" s="99">
        <f t="shared" si="19"/>
        <v>970200000</v>
      </c>
      <c r="G320" s="99"/>
    </row>
    <row r="321" spans="1:9">
      <c r="A321" s="99" t="s">
        <v>5221</v>
      </c>
      <c r="B321" s="113">
        <v>-6000000</v>
      </c>
      <c r="C321" s="99">
        <v>2</v>
      </c>
      <c r="D321" s="99">
        <f t="shared" si="20"/>
        <v>153</v>
      </c>
      <c r="E321" s="99">
        <f t="shared" si="21"/>
        <v>0</v>
      </c>
      <c r="F321" s="99">
        <f t="shared" si="19"/>
        <v>-918000000</v>
      </c>
      <c r="G321" s="99"/>
    </row>
    <row r="322" spans="1:9">
      <c r="A322" s="99" t="s">
        <v>5219</v>
      </c>
      <c r="B322" s="113">
        <v>-295000</v>
      </c>
      <c r="C322" s="99">
        <v>0</v>
      </c>
      <c r="D322" s="99">
        <f t="shared" si="20"/>
        <v>151</v>
      </c>
      <c r="E322" s="99">
        <f t="shared" si="21"/>
        <v>1</v>
      </c>
      <c r="F322" s="99">
        <f t="shared" si="19"/>
        <v>-44250000</v>
      </c>
      <c r="G322" s="99"/>
    </row>
    <row r="323" spans="1:9">
      <c r="A323" s="99" t="s">
        <v>5219</v>
      </c>
      <c r="B323" s="113">
        <v>483</v>
      </c>
      <c r="C323" s="99">
        <v>8</v>
      </c>
      <c r="D323" s="99">
        <f t="shared" si="20"/>
        <v>151</v>
      </c>
      <c r="E323" s="99">
        <f t="shared" si="21"/>
        <v>1</v>
      </c>
      <c r="F323" s="99">
        <f t="shared" si="19"/>
        <v>72450</v>
      </c>
      <c r="G323" s="99" t="s">
        <v>693</v>
      </c>
      <c r="I323" t="s">
        <v>25</v>
      </c>
    </row>
    <row r="324" spans="1:9">
      <c r="A324" s="99" t="s">
        <v>5238</v>
      </c>
      <c r="B324" s="113">
        <v>1700000</v>
      </c>
      <c r="C324" s="99">
        <v>0</v>
      </c>
      <c r="D324" s="99">
        <f t="shared" si="20"/>
        <v>143</v>
      </c>
      <c r="E324" s="99">
        <f t="shared" si="21"/>
        <v>0</v>
      </c>
      <c r="F324" s="99">
        <f t="shared" si="19"/>
        <v>243100000</v>
      </c>
      <c r="G324" s="99"/>
    </row>
    <row r="325" spans="1:9">
      <c r="A325" s="99" t="s">
        <v>5238</v>
      </c>
      <c r="B325" s="113">
        <v>-53000</v>
      </c>
      <c r="C325" s="99">
        <v>1</v>
      </c>
      <c r="D325" s="99">
        <f t="shared" si="20"/>
        <v>143</v>
      </c>
      <c r="E325" s="99">
        <f t="shared" si="21"/>
        <v>0</v>
      </c>
      <c r="F325" s="99">
        <f t="shared" si="19"/>
        <v>-7579000</v>
      </c>
      <c r="G325" s="99"/>
    </row>
    <row r="326" spans="1:9">
      <c r="A326" s="99" t="s">
        <v>5239</v>
      </c>
      <c r="B326" s="113">
        <v>-1300000</v>
      </c>
      <c r="C326" s="99">
        <v>0</v>
      </c>
      <c r="D326" s="99">
        <f t="shared" si="20"/>
        <v>142</v>
      </c>
      <c r="E326" s="99">
        <f t="shared" si="21"/>
        <v>0</v>
      </c>
      <c r="F326" s="99">
        <f t="shared" si="19"/>
        <v>-184600000</v>
      </c>
      <c r="G326" s="99"/>
      <c r="I326" t="s">
        <v>25</v>
      </c>
    </row>
    <row r="327" spans="1:9">
      <c r="A327" s="99" t="s">
        <v>5239</v>
      </c>
      <c r="B327" s="113">
        <v>-41500</v>
      </c>
      <c r="C327" s="99">
        <v>1</v>
      </c>
      <c r="D327" s="99">
        <f t="shared" ref="D327:D331" si="22">D328+C327</f>
        <v>142</v>
      </c>
      <c r="E327" s="99">
        <f t="shared" ref="E327:E331" si="23">IF(B328&gt;0,1,0)</f>
        <v>0</v>
      </c>
      <c r="F327" s="99">
        <f t="shared" si="19"/>
        <v>-5893000</v>
      </c>
      <c r="G327" s="99"/>
    </row>
    <row r="328" spans="1:9">
      <c r="A328" s="99" t="s">
        <v>5242</v>
      </c>
      <c r="B328" s="113">
        <v>-57700</v>
      </c>
      <c r="C328" s="99">
        <v>3</v>
      </c>
      <c r="D328" s="99">
        <f t="shared" si="22"/>
        <v>141</v>
      </c>
      <c r="E328" s="99">
        <f t="shared" si="23"/>
        <v>0</v>
      </c>
      <c r="F328" s="99">
        <f t="shared" si="19"/>
        <v>-8135700</v>
      </c>
      <c r="G328" s="99"/>
    </row>
    <row r="329" spans="1:9">
      <c r="A329" s="99" t="s">
        <v>5245</v>
      </c>
      <c r="B329" s="113">
        <v>-5600</v>
      </c>
      <c r="C329" s="99">
        <v>1</v>
      </c>
      <c r="D329" s="99">
        <f t="shared" si="22"/>
        <v>138</v>
      </c>
      <c r="E329" s="99">
        <f t="shared" si="23"/>
        <v>0</v>
      </c>
      <c r="F329" s="99">
        <f t="shared" si="19"/>
        <v>-772800</v>
      </c>
      <c r="G329" s="99"/>
    </row>
    <row r="330" spans="1:9">
      <c r="A330" s="99" t="s">
        <v>5247</v>
      </c>
      <c r="B330" s="113">
        <v>-5600</v>
      </c>
      <c r="C330" s="99">
        <v>1</v>
      </c>
      <c r="D330" s="99">
        <f t="shared" si="22"/>
        <v>137</v>
      </c>
      <c r="E330" s="99">
        <f t="shared" si="23"/>
        <v>0</v>
      </c>
      <c r="F330" s="99">
        <f t="shared" si="19"/>
        <v>-767200</v>
      </c>
      <c r="G330" s="99"/>
    </row>
    <row r="331" spans="1:9">
      <c r="A331" s="99" t="s">
        <v>989</v>
      </c>
      <c r="B331" s="113">
        <v>-68100</v>
      </c>
      <c r="C331" s="99">
        <v>1</v>
      </c>
      <c r="D331" s="99">
        <f t="shared" si="22"/>
        <v>136</v>
      </c>
      <c r="E331" s="99">
        <f t="shared" si="23"/>
        <v>0</v>
      </c>
      <c r="F331" s="99">
        <f t="shared" si="19"/>
        <v>-9261600</v>
      </c>
      <c r="G331" s="99"/>
      <c r="I331" t="s">
        <v>25</v>
      </c>
    </row>
    <row r="332" spans="1:9">
      <c r="A332" s="99" t="s">
        <v>4271</v>
      </c>
      <c r="B332" s="113">
        <v>-25390</v>
      </c>
      <c r="C332" s="99">
        <v>2</v>
      </c>
      <c r="D332" s="99">
        <f t="shared" ref="D332:D333" si="24">D333+C332</f>
        <v>135</v>
      </c>
      <c r="E332" s="99">
        <f t="shared" ref="E332:E333" si="25">IF(B333&gt;0,1,0)</f>
        <v>0</v>
      </c>
      <c r="F332" s="99">
        <f t="shared" ref="F332:F333" si="26">B332*(D332-E332)</f>
        <v>-3427650</v>
      </c>
      <c r="G332" s="99"/>
    </row>
    <row r="333" spans="1:9">
      <c r="A333" s="99" t="s">
        <v>5258</v>
      </c>
      <c r="B333" s="113">
        <v>-78508</v>
      </c>
      <c r="C333" s="99">
        <v>2</v>
      </c>
      <c r="D333" s="99">
        <f t="shared" si="24"/>
        <v>133</v>
      </c>
      <c r="E333" s="99">
        <f t="shared" si="25"/>
        <v>0</v>
      </c>
      <c r="F333" s="99">
        <f t="shared" si="26"/>
        <v>-10441564</v>
      </c>
      <c r="G333" s="99"/>
    </row>
    <row r="334" spans="1:9">
      <c r="A334" s="99" t="s">
        <v>5259</v>
      </c>
      <c r="B334" s="113">
        <v>-2000</v>
      </c>
      <c r="C334" s="99">
        <v>4</v>
      </c>
      <c r="D334" s="99">
        <f t="shared" ref="D334:D352" si="27">D335+C334</f>
        <v>131</v>
      </c>
      <c r="E334" s="99">
        <f t="shared" ref="E334:E352" si="28">IF(B335&gt;0,1,0)</f>
        <v>1</v>
      </c>
      <c r="F334" s="99">
        <f t="shared" ref="F334:F352" si="29">B334*(D334-E334)</f>
        <v>-260000</v>
      </c>
      <c r="G334" s="99"/>
    </row>
    <row r="335" spans="1:9">
      <c r="A335" s="99" t="s">
        <v>5262</v>
      </c>
      <c r="B335" s="113">
        <v>2200472</v>
      </c>
      <c r="C335" s="99">
        <v>1</v>
      </c>
      <c r="D335" s="99">
        <f t="shared" si="27"/>
        <v>127</v>
      </c>
      <c r="E335" s="99">
        <f t="shared" si="28"/>
        <v>0</v>
      </c>
      <c r="F335" s="99">
        <f t="shared" si="29"/>
        <v>279459944</v>
      </c>
      <c r="G335" s="99"/>
      <c r="H335" t="s">
        <v>25</v>
      </c>
    </row>
    <row r="336" spans="1:9">
      <c r="A336" s="99" t="s">
        <v>5268</v>
      </c>
      <c r="B336" s="113">
        <v>-28000</v>
      </c>
      <c r="C336" s="99">
        <v>2</v>
      </c>
      <c r="D336" s="99">
        <f t="shared" si="27"/>
        <v>126</v>
      </c>
      <c r="E336" s="99">
        <f t="shared" si="28"/>
        <v>1</v>
      </c>
      <c r="F336" s="99">
        <f t="shared" si="29"/>
        <v>-3500000</v>
      </c>
      <c r="G336" s="99"/>
    </row>
    <row r="337" spans="1:13">
      <c r="A337" s="99" t="s">
        <v>5267</v>
      </c>
      <c r="B337" s="113">
        <v>2500000</v>
      </c>
      <c r="C337" s="99">
        <v>0</v>
      </c>
      <c r="D337" s="99">
        <f t="shared" si="27"/>
        <v>124</v>
      </c>
      <c r="E337" s="99">
        <f t="shared" si="28"/>
        <v>0</v>
      </c>
      <c r="F337" s="99">
        <f t="shared" si="29"/>
        <v>310000000</v>
      </c>
      <c r="G337" s="99"/>
    </row>
    <row r="338" spans="1:13">
      <c r="A338" s="99" t="s">
        <v>5267</v>
      </c>
      <c r="B338" s="113">
        <v>-407500</v>
      </c>
      <c r="C338" s="99">
        <v>2</v>
      </c>
      <c r="D338" s="99">
        <f t="shared" si="27"/>
        <v>124</v>
      </c>
      <c r="E338" s="99">
        <f t="shared" si="28"/>
        <v>0</v>
      </c>
      <c r="F338" s="99">
        <f t="shared" si="29"/>
        <v>-50530000</v>
      </c>
      <c r="G338" s="99"/>
    </row>
    <row r="339" spans="1:13">
      <c r="A339" s="99" t="s">
        <v>5269</v>
      </c>
      <c r="B339" s="113">
        <v>-3600</v>
      </c>
      <c r="C339" s="99">
        <v>1</v>
      </c>
      <c r="D339" s="99">
        <f t="shared" si="27"/>
        <v>122</v>
      </c>
      <c r="E339" s="99">
        <f t="shared" si="28"/>
        <v>0</v>
      </c>
      <c r="F339" s="99">
        <f t="shared" si="29"/>
        <v>-439200</v>
      </c>
      <c r="G339" s="99"/>
    </row>
    <row r="340" spans="1:13">
      <c r="A340" s="99" t="s">
        <v>5275</v>
      </c>
      <c r="B340" s="113">
        <v>-170094</v>
      </c>
      <c r="C340" s="99">
        <v>1</v>
      </c>
      <c r="D340" s="99">
        <f t="shared" si="27"/>
        <v>121</v>
      </c>
      <c r="E340" s="99">
        <f t="shared" si="28"/>
        <v>0</v>
      </c>
      <c r="F340" s="99">
        <f t="shared" si="29"/>
        <v>-20581374</v>
      </c>
      <c r="G340" s="99"/>
      <c r="J340" t="s">
        <v>25</v>
      </c>
    </row>
    <row r="341" spans="1:13">
      <c r="A341" s="99" t="s">
        <v>5270</v>
      </c>
      <c r="B341" s="113">
        <v>-51730</v>
      </c>
      <c r="C341" s="99">
        <v>1</v>
      </c>
      <c r="D341" s="99">
        <f t="shared" si="27"/>
        <v>120</v>
      </c>
      <c r="E341" s="99">
        <f t="shared" si="28"/>
        <v>0</v>
      </c>
      <c r="F341" s="99">
        <f t="shared" si="29"/>
        <v>-6207600</v>
      </c>
      <c r="G341" s="99"/>
    </row>
    <row r="342" spans="1:13">
      <c r="A342" s="99" t="s">
        <v>5276</v>
      </c>
      <c r="B342" s="113">
        <v>-200000</v>
      </c>
      <c r="C342" s="99">
        <v>2</v>
      </c>
      <c r="D342" s="99">
        <f t="shared" si="27"/>
        <v>119</v>
      </c>
      <c r="E342" s="99">
        <f t="shared" si="28"/>
        <v>0</v>
      </c>
      <c r="F342" s="99">
        <f t="shared" si="29"/>
        <v>-23800000</v>
      </c>
      <c r="G342" s="99"/>
    </row>
    <row r="343" spans="1:13">
      <c r="A343" s="99" t="s">
        <v>5237</v>
      </c>
      <c r="B343" s="113">
        <v>-3000000</v>
      </c>
      <c r="C343" s="99">
        <v>0</v>
      </c>
      <c r="D343" s="99">
        <f t="shared" si="27"/>
        <v>117</v>
      </c>
      <c r="E343" s="99">
        <f t="shared" si="28"/>
        <v>0</v>
      </c>
      <c r="F343" s="99">
        <f t="shared" si="29"/>
        <v>-351000000</v>
      </c>
      <c r="G343" s="99"/>
    </row>
    <row r="344" spans="1:13">
      <c r="A344" s="99" t="s">
        <v>5237</v>
      </c>
      <c r="B344" s="113">
        <v>-39726</v>
      </c>
      <c r="C344" s="99">
        <v>1</v>
      </c>
      <c r="D344" s="99">
        <f t="shared" si="27"/>
        <v>117</v>
      </c>
      <c r="E344" s="99">
        <f t="shared" si="28"/>
        <v>0</v>
      </c>
      <c r="F344" s="99">
        <f t="shared" si="29"/>
        <v>-4647942</v>
      </c>
      <c r="G344" s="99"/>
      <c r="M344" t="s">
        <v>25</v>
      </c>
    </row>
    <row r="345" spans="1:13">
      <c r="A345" s="99" t="s">
        <v>5278</v>
      </c>
      <c r="B345" s="113">
        <v>-566500</v>
      </c>
      <c r="C345" s="99">
        <v>1</v>
      </c>
      <c r="D345" s="99">
        <f t="shared" si="27"/>
        <v>116</v>
      </c>
      <c r="E345" s="99">
        <f t="shared" si="28"/>
        <v>0</v>
      </c>
      <c r="F345" s="99">
        <f t="shared" si="29"/>
        <v>-65714000</v>
      </c>
      <c r="G345" s="99"/>
      <c r="K345" t="s">
        <v>25</v>
      </c>
    </row>
    <row r="346" spans="1:13">
      <c r="A346" s="99" t="s">
        <v>5279</v>
      </c>
      <c r="B346" s="113">
        <v>-300000</v>
      </c>
      <c r="C346" s="99">
        <v>22</v>
      </c>
      <c r="D346" s="99">
        <f t="shared" si="27"/>
        <v>115</v>
      </c>
      <c r="E346" s="99">
        <f t="shared" si="28"/>
        <v>1</v>
      </c>
      <c r="F346" s="99">
        <f t="shared" si="29"/>
        <v>-34200000</v>
      </c>
      <c r="G346" s="99"/>
      <c r="J346" t="s">
        <v>25</v>
      </c>
    </row>
    <row r="347" spans="1:13">
      <c r="A347" s="99" t="s">
        <v>5302</v>
      </c>
      <c r="B347" s="113">
        <v>700000</v>
      </c>
      <c r="C347" s="99">
        <v>1</v>
      </c>
      <c r="D347" s="99">
        <f t="shared" si="27"/>
        <v>93</v>
      </c>
      <c r="E347" s="99">
        <f t="shared" si="28"/>
        <v>0</v>
      </c>
      <c r="F347" s="99">
        <f t="shared" si="29"/>
        <v>65100000</v>
      </c>
      <c r="G347" s="99"/>
    </row>
    <row r="348" spans="1:13">
      <c r="A348" s="99" t="s">
        <v>5305</v>
      </c>
      <c r="B348" s="113">
        <v>-101000</v>
      </c>
      <c r="C348" s="99">
        <v>1</v>
      </c>
      <c r="D348" s="99">
        <f t="shared" si="27"/>
        <v>92</v>
      </c>
      <c r="E348" s="99">
        <f t="shared" si="28"/>
        <v>0</v>
      </c>
      <c r="F348" s="99">
        <f t="shared" si="29"/>
        <v>-9292000</v>
      </c>
      <c r="G348" s="99"/>
    </row>
    <row r="349" spans="1:13">
      <c r="A349" s="99" t="s">
        <v>5305</v>
      </c>
      <c r="B349" s="113">
        <v>-57245</v>
      </c>
      <c r="C349" s="99">
        <v>1</v>
      </c>
      <c r="D349" s="99">
        <f t="shared" si="27"/>
        <v>91</v>
      </c>
      <c r="E349" s="99">
        <f t="shared" si="28"/>
        <v>0</v>
      </c>
      <c r="F349" s="99">
        <f t="shared" si="29"/>
        <v>-5209295</v>
      </c>
      <c r="G349" s="99"/>
    </row>
    <row r="350" spans="1:13">
      <c r="A350" s="99" t="s">
        <v>5307</v>
      </c>
      <c r="B350" s="113">
        <v>-398700</v>
      </c>
      <c r="C350" s="99">
        <v>2</v>
      </c>
      <c r="D350" s="99">
        <f t="shared" si="27"/>
        <v>90</v>
      </c>
      <c r="E350" s="99">
        <f t="shared" si="28"/>
        <v>0</v>
      </c>
      <c r="F350" s="99">
        <f t="shared" si="29"/>
        <v>-35883000</v>
      </c>
      <c r="G350" s="99"/>
    </row>
    <row r="351" spans="1:13">
      <c r="A351" s="99" t="s">
        <v>5306</v>
      </c>
      <c r="B351" s="113">
        <v>-87010</v>
      </c>
      <c r="C351" s="99">
        <v>5</v>
      </c>
      <c r="D351" s="99">
        <f t="shared" si="27"/>
        <v>88</v>
      </c>
      <c r="E351" s="99">
        <f t="shared" si="28"/>
        <v>0</v>
      </c>
      <c r="F351" s="99">
        <f t="shared" si="29"/>
        <v>-7656880</v>
      </c>
      <c r="G351" s="99"/>
    </row>
    <row r="352" spans="1:13">
      <c r="A352" s="99" t="s">
        <v>5336</v>
      </c>
      <c r="B352" s="113">
        <v>-50000</v>
      </c>
      <c r="C352" s="99">
        <v>28</v>
      </c>
      <c r="D352" s="99">
        <f t="shared" si="27"/>
        <v>83</v>
      </c>
      <c r="E352" s="99">
        <f t="shared" si="28"/>
        <v>1</v>
      </c>
      <c r="F352" s="99">
        <f t="shared" si="29"/>
        <v>-4100000</v>
      </c>
      <c r="G352" s="99"/>
    </row>
    <row r="353" spans="1:12">
      <c r="A353" s="99" t="s">
        <v>5335</v>
      </c>
      <c r="B353" s="113">
        <v>1200000</v>
      </c>
      <c r="C353" s="99">
        <v>0</v>
      </c>
      <c r="D353" s="99">
        <f t="shared" ref="D353:D365" si="30">D354+C353</f>
        <v>55</v>
      </c>
      <c r="E353" s="99">
        <f t="shared" ref="E353:E365" si="31">IF(B354&gt;0,1,0)</f>
        <v>0</v>
      </c>
      <c r="F353" s="99">
        <f t="shared" ref="F353:F365" si="32">B353*(D353-E353)</f>
        <v>66000000</v>
      </c>
      <c r="G353" s="99"/>
    </row>
    <row r="354" spans="1:12">
      <c r="A354" s="99" t="s">
        <v>5335</v>
      </c>
      <c r="B354" s="113">
        <v>-367300</v>
      </c>
      <c r="C354" s="99">
        <v>1</v>
      </c>
      <c r="D354" s="99">
        <f t="shared" si="30"/>
        <v>55</v>
      </c>
      <c r="E354" s="99">
        <f t="shared" si="31"/>
        <v>0</v>
      </c>
      <c r="F354" s="99">
        <f t="shared" si="32"/>
        <v>-20201500</v>
      </c>
      <c r="G354" s="99"/>
    </row>
    <row r="355" spans="1:12">
      <c r="A355" s="99" t="s">
        <v>5337</v>
      </c>
      <c r="B355" s="113">
        <v>-104894</v>
      </c>
      <c r="C355" s="99">
        <v>1</v>
      </c>
      <c r="D355" s="99">
        <f t="shared" si="30"/>
        <v>54</v>
      </c>
      <c r="E355" s="99">
        <f t="shared" si="31"/>
        <v>0</v>
      </c>
      <c r="F355" s="99">
        <f t="shared" si="32"/>
        <v>-5664276</v>
      </c>
      <c r="G355" s="99"/>
    </row>
    <row r="356" spans="1:12">
      <c r="A356" s="99" t="s">
        <v>5338</v>
      </c>
      <c r="B356" s="113">
        <v>-688700</v>
      </c>
      <c r="C356" s="99">
        <v>0</v>
      </c>
      <c r="D356" s="99">
        <f t="shared" si="30"/>
        <v>53</v>
      </c>
      <c r="E356" s="99">
        <f t="shared" si="31"/>
        <v>0</v>
      </c>
      <c r="F356" s="99">
        <f t="shared" si="32"/>
        <v>-36501100</v>
      </c>
      <c r="G356" s="99"/>
    </row>
    <row r="357" spans="1:12">
      <c r="A357" s="99" t="s">
        <v>5338</v>
      </c>
      <c r="B357" s="113">
        <v>-8321</v>
      </c>
      <c r="C357" s="99">
        <v>5</v>
      </c>
      <c r="D357" s="99">
        <f t="shared" si="30"/>
        <v>53</v>
      </c>
      <c r="E357" s="99">
        <f t="shared" si="31"/>
        <v>1</v>
      </c>
      <c r="F357" s="99">
        <f t="shared" si="32"/>
        <v>-432692</v>
      </c>
      <c r="G357" s="99"/>
      <c r="J357" t="s">
        <v>25</v>
      </c>
    </row>
    <row r="358" spans="1:12">
      <c r="A358" s="99" t="s">
        <v>5348</v>
      </c>
      <c r="B358" s="113">
        <v>1000000</v>
      </c>
      <c r="C358" s="99">
        <v>0</v>
      </c>
      <c r="D358" s="99">
        <f t="shared" si="30"/>
        <v>48</v>
      </c>
      <c r="E358" s="99">
        <f t="shared" si="31"/>
        <v>0</v>
      </c>
      <c r="F358" s="99">
        <f t="shared" si="32"/>
        <v>48000000</v>
      </c>
      <c r="G358" s="99"/>
    </row>
    <row r="359" spans="1:12">
      <c r="A359" s="99" t="s">
        <v>5348</v>
      </c>
      <c r="B359" s="113">
        <v>-127644</v>
      </c>
      <c r="C359" s="99">
        <v>1</v>
      </c>
      <c r="D359" s="99">
        <f t="shared" si="30"/>
        <v>48</v>
      </c>
      <c r="E359" s="99">
        <f t="shared" si="31"/>
        <v>0</v>
      </c>
      <c r="F359" s="99">
        <f t="shared" si="32"/>
        <v>-6126912</v>
      </c>
      <c r="G359" s="99"/>
    </row>
    <row r="360" spans="1:12">
      <c r="A360" s="99" t="s">
        <v>5349</v>
      </c>
      <c r="B360" s="113">
        <v>-418000</v>
      </c>
      <c r="C360" s="99">
        <v>4</v>
      </c>
      <c r="D360" s="99">
        <f t="shared" si="30"/>
        <v>47</v>
      </c>
      <c r="E360" s="99">
        <f t="shared" si="31"/>
        <v>0</v>
      </c>
      <c r="F360" s="99">
        <f t="shared" si="32"/>
        <v>-19646000</v>
      </c>
      <c r="G360" s="99"/>
    </row>
    <row r="361" spans="1:12">
      <c r="A361" s="99" t="s">
        <v>5353</v>
      </c>
      <c r="B361" s="113">
        <v>-183136</v>
      </c>
      <c r="C361" s="99">
        <v>2</v>
      </c>
      <c r="D361" s="99">
        <f t="shared" si="30"/>
        <v>43</v>
      </c>
      <c r="E361" s="99">
        <f t="shared" si="31"/>
        <v>0</v>
      </c>
      <c r="F361" s="99">
        <f t="shared" si="32"/>
        <v>-7874848</v>
      </c>
      <c r="G361" s="99"/>
      <c r="L361" t="s">
        <v>25</v>
      </c>
    </row>
    <row r="362" spans="1:12">
      <c r="A362" s="99" t="s">
        <v>5385</v>
      </c>
      <c r="B362" s="113">
        <v>-18600</v>
      </c>
      <c r="C362" s="99">
        <v>2</v>
      </c>
      <c r="D362" s="99">
        <f t="shared" si="30"/>
        <v>41</v>
      </c>
      <c r="E362" s="99">
        <f t="shared" si="31"/>
        <v>0</v>
      </c>
      <c r="F362" s="99">
        <f t="shared" si="32"/>
        <v>-762600</v>
      </c>
      <c r="G362" s="99"/>
    </row>
    <row r="363" spans="1:12">
      <c r="A363" s="99" t="s">
        <v>5365</v>
      </c>
      <c r="B363" s="113">
        <v>-90000</v>
      </c>
      <c r="C363" s="99">
        <v>1</v>
      </c>
      <c r="D363" s="99">
        <f t="shared" si="30"/>
        <v>39</v>
      </c>
      <c r="E363" s="99">
        <f t="shared" si="31"/>
        <v>0</v>
      </c>
      <c r="F363" s="99">
        <f t="shared" si="32"/>
        <v>-3510000</v>
      </c>
      <c r="G363" s="99"/>
    </row>
    <row r="364" spans="1:12">
      <c r="A364" s="99" t="s">
        <v>5366</v>
      </c>
      <c r="B364" s="113">
        <v>-18600</v>
      </c>
      <c r="C364" s="99">
        <v>1</v>
      </c>
      <c r="D364" s="99">
        <f t="shared" si="30"/>
        <v>38</v>
      </c>
      <c r="E364" s="99">
        <f t="shared" si="31"/>
        <v>0</v>
      </c>
      <c r="F364" s="99">
        <f t="shared" si="32"/>
        <v>-706800</v>
      </c>
      <c r="G364" s="99"/>
    </row>
    <row r="365" spans="1:12">
      <c r="A365" s="99" t="s">
        <v>976</v>
      </c>
      <c r="B365" s="113">
        <v>-89760</v>
      </c>
      <c r="C365" s="99">
        <v>0</v>
      </c>
      <c r="D365" s="99">
        <f t="shared" si="30"/>
        <v>37</v>
      </c>
      <c r="E365" s="99">
        <f t="shared" si="31"/>
        <v>1</v>
      </c>
      <c r="F365" s="99">
        <f t="shared" si="32"/>
        <v>-3231360</v>
      </c>
      <c r="G365" s="99"/>
      <c r="K365" t="s">
        <v>25</v>
      </c>
    </row>
    <row r="366" spans="1:12">
      <c r="A366" s="99" t="s">
        <v>976</v>
      </c>
      <c r="B366" s="113">
        <v>1600000</v>
      </c>
      <c r="C366" s="99">
        <v>0</v>
      </c>
      <c r="D366" s="99">
        <f t="shared" ref="D366:D390" si="33">D367+C366</f>
        <v>37</v>
      </c>
      <c r="E366" s="99">
        <f t="shared" ref="E366:E390" si="34">IF(B367&gt;0,1,0)</f>
        <v>0</v>
      </c>
      <c r="F366" s="99">
        <f t="shared" ref="F366:F390" si="35">B366*(D366-E366)</f>
        <v>59200000</v>
      </c>
      <c r="G366" s="99"/>
    </row>
    <row r="367" spans="1:12">
      <c r="A367" s="99" t="s">
        <v>976</v>
      </c>
      <c r="B367" s="113">
        <v>-101003</v>
      </c>
      <c r="C367" s="99">
        <v>1</v>
      </c>
      <c r="D367" s="99">
        <f t="shared" si="33"/>
        <v>37</v>
      </c>
      <c r="E367" s="99">
        <f t="shared" si="34"/>
        <v>1</v>
      </c>
      <c r="F367" s="99">
        <f t="shared" si="35"/>
        <v>-3636108</v>
      </c>
      <c r="G367" s="99"/>
    </row>
    <row r="368" spans="1:12">
      <c r="A368" s="99" t="s">
        <v>5369</v>
      </c>
      <c r="B368" s="113">
        <v>3500000</v>
      </c>
      <c r="C368" s="99">
        <v>3</v>
      </c>
      <c r="D368" s="99">
        <f t="shared" si="33"/>
        <v>36</v>
      </c>
      <c r="E368" s="99">
        <f t="shared" si="34"/>
        <v>0</v>
      </c>
      <c r="F368" s="99">
        <f t="shared" si="35"/>
        <v>126000000</v>
      </c>
      <c r="G368" s="99"/>
    </row>
    <row r="369" spans="1:11">
      <c r="A369" s="99" t="s">
        <v>5372</v>
      </c>
      <c r="B369" s="113">
        <v>-93800</v>
      </c>
      <c r="C369" s="99">
        <v>1</v>
      </c>
      <c r="D369" s="99">
        <f t="shared" si="33"/>
        <v>33</v>
      </c>
      <c r="E369" s="99">
        <f t="shared" si="34"/>
        <v>0</v>
      </c>
      <c r="F369" s="99">
        <f t="shared" si="35"/>
        <v>-3095400</v>
      </c>
      <c r="G369" s="99"/>
    </row>
    <row r="370" spans="1:11">
      <c r="A370" s="99" t="s">
        <v>5374</v>
      </c>
      <c r="B370" s="113">
        <v>-815500</v>
      </c>
      <c r="C370" s="99">
        <v>1</v>
      </c>
      <c r="D370" s="99">
        <f t="shared" si="33"/>
        <v>32</v>
      </c>
      <c r="E370" s="99">
        <f t="shared" si="34"/>
        <v>0</v>
      </c>
      <c r="F370" s="99">
        <f t="shared" si="35"/>
        <v>-26096000</v>
      </c>
      <c r="G370" s="99"/>
    </row>
    <row r="371" spans="1:11">
      <c r="A371" s="99" t="s">
        <v>5377</v>
      </c>
      <c r="B371" s="113">
        <v>-2096840</v>
      </c>
      <c r="C371" s="99">
        <v>0</v>
      </c>
      <c r="D371" s="99">
        <f t="shared" si="33"/>
        <v>31</v>
      </c>
      <c r="E371" s="99">
        <f t="shared" si="34"/>
        <v>1</v>
      </c>
      <c r="F371" s="99">
        <f t="shared" si="35"/>
        <v>-62905200</v>
      </c>
      <c r="G371" s="99"/>
    </row>
    <row r="372" spans="1:11">
      <c r="A372" s="99" t="s">
        <v>5377</v>
      </c>
      <c r="B372" s="113">
        <v>533</v>
      </c>
      <c r="C372" s="99">
        <v>1</v>
      </c>
      <c r="D372" s="99">
        <f t="shared" si="33"/>
        <v>31</v>
      </c>
      <c r="E372" s="99">
        <f t="shared" si="34"/>
        <v>1</v>
      </c>
      <c r="F372" s="99">
        <f t="shared" si="35"/>
        <v>15990</v>
      </c>
      <c r="G372" s="99"/>
      <c r="J372" t="s">
        <v>25</v>
      </c>
    </row>
    <row r="373" spans="1:11">
      <c r="A373" s="99" t="s">
        <v>5381</v>
      </c>
      <c r="B373" s="113">
        <v>4100000</v>
      </c>
      <c r="C373" s="99">
        <v>1</v>
      </c>
      <c r="D373" s="99">
        <f t="shared" si="33"/>
        <v>30</v>
      </c>
      <c r="E373" s="99">
        <f t="shared" si="34"/>
        <v>0</v>
      </c>
      <c r="F373" s="99">
        <f t="shared" si="35"/>
        <v>123000000</v>
      </c>
      <c r="G373" s="99"/>
    </row>
    <row r="374" spans="1:11">
      <c r="A374" s="99" t="s">
        <v>5386</v>
      </c>
      <c r="B374" s="113">
        <v>-3642549</v>
      </c>
      <c r="C374" s="99">
        <v>3</v>
      </c>
      <c r="D374" s="99">
        <f t="shared" si="33"/>
        <v>29</v>
      </c>
      <c r="E374" s="99">
        <f t="shared" si="34"/>
        <v>0</v>
      </c>
      <c r="F374" s="99">
        <f t="shared" si="35"/>
        <v>-105633921</v>
      </c>
      <c r="G374" s="99"/>
    </row>
    <row r="375" spans="1:11">
      <c r="A375" s="99" t="s">
        <v>5397</v>
      </c>
      <c r="B375" s="113">
        <v>-317091</v>
      </c>
      <c r="C375" s="99">
        <v>1</v>
      </c>
      <c r="D375" s="99">
        <f t="shared" si="33"/>
        <v>26</v>
      </c>
      <c r="E375" s="99">
        <f t="shared" si="34"/>
        <v>0</v>
      </c>
      <c r="F375" s="99">
        <f t="shared" si="35"/>
        <v>-8244366</v>
      </c>
      <c r="G375" s="99"/>
    </row>
    <row r="376" spans="1:11">
      <c r="A376" s="99" t="s">
        <v>5389</v>
      </c>
      <c r="B376" s="113">
        <v>-1600000</v>
      </c>
      <c r="C376" s="99">
        <v>1</v>
      </c>
      <c r="D376" s="99">
        <f t="shared" si="33"/>
        <v>25</v>
      </c>
      <c r="E376" s="99">
        <f t="shared" si="34"/>
        <v>0</v>
      </c>
      <c r="F376" s="99">
        <f t="shared" si="35"/>
        <v>-40000000</v>
      </c>
      <c r="G376" s="99"/>
    </row>
    <row r="377" spans="1:11">
      <c r="A377" s="99" t="s">
        <v>5392</v>
      </c>
      <c r="B377" s="113">
        <v>-148200</v>
      </c>
      <c r="C377" s="99">
        <v>1</v>
      </c>
      <c r="D377" s="99">
        <f t="shared" si="33"/>
        <v>24</v>
      </c>
      <c r="E377" s="99">
        <f t="shared" si="34"/>
        <v>0</v>
      </c>
      <c r="F377" s="99">
        <f t="shared" si="35"/>
        <v>-3556800</v>
      </c>
      <c r="G377" s="99"/>
    </row>
    <row r="378" spans="1:11">
      <c r="A378" s="99" t="s">
        <v>995</v>
      </c>
      <c r="B378" s="113">
        <v>-472401</v>
      </c>
      <c r="C378" s="99">
        <v>22</v>
      </c>
      <c r="D378" s="99">
        <f t="shared" si="33"/>
        <v>23</v>
      </c>
      <c r="E378" s="99">
        <f t="shared" si="34"/>
        <v>1</v>
      </c>
      <c r="F378" s="99">
        <f t="shared" si="35"/>
        <v>-10392822</v>
      </c>
      <c r="G378" s="99"/>
      <c r="K378" t="s">
        <v>25</v>
      </c>
    </row>
    <row r="379" spans="1:11">
      <c r="A379" s="99" t="s">
        <v>5485</v>
      </c>
      <c r="B379" s="113">
        <v>10000000</v>
      </c>
      <c r="C379" s="99">
        <v>0</v>
      </c>
      <c r="D379" s="99">
        <f t="shared" si="33"/>
        <v>1</v>
      </c>
      <c r="E379" s="99">
        <f t="shared" si="34"/>
        <v>0</v>
      </c>
      <c r="F379" s="99">
        <f t="shared" si="35"/>
        <v>10000000</v>
      </c>
      <c r="G379" s="99"/>
    </row>
    <row r="380" spans="1:11">
      <c r="A380" s="99" t="s">
        <v>5485</v>
      </c>
      <c r="B380" s="113">
        <v>-3000000</v>
      </c>
      <c r="C380" s="99">
        <v>0</v>
      </c>
      <c r="D380" s="99">
        <f t="shared" si="33"/>
        <v>1</v>
      </c>
      <c r="E380" s="99">
        <f t="shared" si="34"/>
        <v>0</v>
      </c>
      <c r="F380" s="99">
        <f t="shared" si="35"/>
        <v>-3000000</v>
      </c>
      <c r="G380" s="99"/>
    </row>
    <row r="381" spans="1:11">
      <c r="A381" s="99" t="s">
        <v>5485</v>
      </c>
      <c r="B381" s="113">
        <v>-3971300</v>
      </c>
      <c r="C381" s="99">
        <v>1</v>
      </c>
      <c r="D381" s="99">
        <f t="shared" si="33"/>
        <v>1</v>
      </c>
      <c r="E381" s="99">
        <f t="shared" si="34"/>
        <v>0</v>
      </c>
      <c r="F381" s="99">
        <f t="shared" si="35"/>
        <v>-3971300</v>
      </c>
      <c r="G381" s="99"/>
    </row>
    <row r="382" spans="1:11">
      <c r="A382" s="99"/>
      <c r="B382" s="113"/>
      <c r="C382" s="99"/>
      <c r="D382" s="99">
        <f t="shared" si="33"/>
        <v>0</v>
      </c>
      <c r="E382" s="99">
        <f t="shared" si="34"/>
        <v>0</v>
      </c>
      <c r="F382" s="99">
        <f t="shared" si="35"/>
        <v>0</v>
      </c>
      <c r="G382" s="99"/>
    </row>
    <row r="383" spans="1:11">
      <c r="A383" s="99"/>
      <c r="B383" s="113"/>
      <c r="C383" s="99"/>
      <c r="D383" s="99">
        <f t="shared" si="33"/>
        <v>0</v>
      </c>
      <c r="E383" s="99">
        <f t="shared" si="34"/>
        <v>0</v>
      </c>
      <c r="F383" s="99">
        <f t="shared" si="35"/>
        <v>0</v>
      </c>
      <c r="G383" s="99"/>
    </row>
    <row r="384" spans="1:11">
      <c r="A384" s="99"/>
      <c r="B384" s="113"/>
      <c r="C384" s="99"/>
      <c r="D384" s="99">
        <f t="shared" si="33"/>
        <v>0</v>
      </c>
      <c r="E384" s="99">
        <f t="shared" si="34"/>
        <v>0</v>
      </c>
      <c r="F384" s="99">
        <f t="shared" si="35"/>
        <v>0</v>
      </c>
      <c r="G384" s="99"/>
    </row>
    <row r="385" spans="1:7">
      <c r="A385" s="99"/>
      <c r="B385" s="113"/>
      <c r="C385" s="99"/>
      <c r="D385" s="99">
        <f t="shared" si="33"/>
        <v>0</v>
      </c>
      <c r="E385" s="99">
        <f t="shared" si="34"/>
        <v>0</v>
      </c>
      <c r="F385" s="99">
        <f t="shared" si="35"/>
        <v>0</v>
      </c>
      <c r="G385" s="99"/>
    </row>
    <row r="386" spans="1:7">
      <c r="A386" s="99"/>
      <c r="B386" s="113"/>
      <c r="C386" s="99"/>
      <c r="D386" s="99">
        <f t="shared" si="33"/>
        <v>0</v>
      </c>
      <c r="E386" s="99">
        <f t="shared" si="34"/>
        <v>0</v>
      </c>
      <c r="F386" s="99">
        <f t="shared" si="35"/>
        <v>0</v>
      </c>
      <c r="G386" s="99"/>
    </row>
    <row r="387" spans="1:7">
      <c r="A387" s="99"/>
      <c r="B387" s="113"/>
      <c r="C387" s="99"/>
      <c r="D387" s="99">
        <f t="shared" si="33"/>
        <v>0</v>
      </c>
      <c r="E387" s="99">
        <f t="shared" si="34"/>
        <v>0</v>
      </c>
      <c r="F387" s="99">
        <f t="shared" si="35"/>
        <v>0</v>
      </c>
      <c r="G387" s="99" t="s">
        <v>25</v>
      </c>
    </row>
    <row r="388" spans="1:7">
      <c r="A388" s="99"/>
      <c r="B388" s="113"/>
      <c r="C388" s="99"/>
      <c r="D388" s="99">
        <f t="shared" si="33"/>
        <v>0</v>
      </c>
      <c r="E388" s="99">
        <f t="shared" si="34"/>
        <v>0</v>
      </c>
      <c r="F388" s="99">
        <f t="shared" si="35"/>
        <v>0</v>
      </c>
      <c r="G388" s="99"/>
    </row>
    <row r="389" spans="1:7">
      <c r="A389" s="99"/>
      <c r="B389" s="113"/>
      <c r="C389" s="99"/>
      <c r="D389" s="99">
        <f t="shared" si="33"/>
        <v>0</v>
      </c>
      <c r="E389" s="99">
        <f t="shared" si="34"/>
        <v>0</v>
      </c>
      <c r="F389" s="99">
        <f t="shared" si="35"/>
        <v>0</v>
      </c>
      <c r="G389" s="99"/>
    </row>
    <row r="390" spans="1:7">
      <c r="A390" s="11"/>
      <c r="B390" s="3">
        <v>0</v>
      </c>
      <c r="C390" s="11">
        <v>0</v>
      </c>
      <c r="D390" s="99">
        <f t="shared" si="33"/>
        <v>0</v>
      </c>
      <c r="E390" s="99">
        <f t="shared" si="34"/>
        <v>0</v>
      </c>
      <c r="F390" s="99">
        <f t="shared" si="35"/>
        <v>0</v>
      </c>
      <c r="G390" s="99"/>
    </row>
    <row r="391" spans="1:7">
      <c r="A391" s="11"/>
      <c r="B391" s="3"/>
      <c r="C391" s="11"/>
      <c r="D391" s="99"/>
      <c r="E391" s="99"/>
      <c r="F391" s="99"/>
      <c r="G391" s="11" t="s">
        <v>25</v>
      </c>
    </row>
    <row r="392" spans="1:7">
      <c r="A392" s="11"/>
      <c r="B392" s="29">
        <f>SUM(B2:B390)</f>
        <v>3091262</v>
      </c>
      <c r="C392" s="11"/>
      <c r="D392" s="11"/>
      <c r="E392" s="11"/>
      <c r="F392" s="29">
        <f>SUM(F2:F390)</f>
        <v>19060620692</v>
      </c>
      <c r="G392" s="11"/>
    </row>
    <row r="393" spans="1:7">
      <c r="A393" s="11"/>
      <c r="B393" s="11" t="s">
        <v>6</v>
      </c>
      <c r="C393" s="11"/>
      <c r="D393" s="11"/>
      <c r="E393" s="11"/>
      <c r="F393" s="11" t="s">
        <v>284</v>
      </c>
      <c r="G393" s="11"/>
    </row>
    <row r="394" spans="1:7">
      <c r="A394" s="11"/>
      <c r="B394" s="11"/>
      <c r="C394" s="11"/>
      <c r="D394" s="11"/>
      <c r="E394" s="11"/>
      <c r="F394" s="11"/>
      <c r="G394" s="11"/>
    </row>
    <row r="395" spans="1:7">
      <c r="A395" s="11"/>
      <c r="B395" s="11"/>
      <c r="C395" s="11"/>
      <c r="D395" s="11"/>
      <c r="E395" s="11"/>
      <c r="F395" s="3">
        <f>F392/D2</f>
        <v>13963824.682783883</v>
      </c>
      <c r="G395" s="11"/>
    </row>
    <row r="396" spans="1:7">
      <c r="A396" s="11"/>
      <c r="B396" s="11"/>
      <c r="C396" s="11"/>
      <c r="D396" s="11"/>
      <c r="E396" s="11"/>
      <c r="F396" s="11" t="s">
        <v>286</v>
      </c>
      <c r="G396" s="11"/>
    </row>
    <row r="399" spans="1:7">
      <c r="B399" s="114">
        <f>B392-10062562</f>
        <v>-6971300</v>
      </c>
    </row>
    <row r="401" spans="2:5">
      <c r="D401" t="s">
        <v>25</v>
      </c>
    </row>
    <row r="402" spans="2:5">
      <c r="B402" s="7"/>
    </row>
    <row r="404" spans="2:5" ht="75">
      <c r="E40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4720</v>
      </c>
      <c r="L15">
        <v>451474</v>
      </c>
      <c r="M15" s="244" t="s">
        <v>4870</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5116</v>
      </c>
      <c r="L33" t="s">
        <v>5117</v>
      </c>
      <c r="M33" t="s">
        <v>5118</v>
      </c>
      <c r="N33" t="s">
        <v>5119</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5121</v>
      </c>
      <c r="M34" t="s">
        <v>5122</v>
      </c>
      <c r="N34" t="s">
        <v>5120</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4825</v>
      </c>
      <c r="B193" s="38">
        <v>-25000</v>
      </c>
      <c r="C193" s="11" t="s">
        <v>4832</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05"/>
  <sheetViews>
    <sheetView tabSelected="1" topLeftCell="I47" zoomScale="85" zoomScaleNormal="85" workbookViewId="0">
      <selection activeCell="K61" sqref="K61:L6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5109</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f>N20+2797300+3127241-716284-1197701</f>
        <v>4010748</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ایلیا'!B392</f>
        <v>3091262</v>
      </c>
      <c r="M16" s="168" t="s">
        <v>750</v>
      </c>
      <c r="N16" s="113">
        <f>'مسکن مریم یاران'!B196</f>
        <v>88305</v>
      </c>
      <c r="O16" t="s">
        <v>25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t="s">
        <v>25</v>
      </c>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192</v>
      </c>
      <c r="O20" s="99" t="s">
        <v>934</v>
      </c>
      <c r="P20" s="99" t="s">
        <v>3925</v>
      </c>
      <c r="Q20" s="169">
        <v>9268987</v>
      </c>
      <c r="R20" s="168" t="s">
        <v>4166</v>
      </c>
      <c r="S20" s="191">
        <f>S94</f>
        <v>525</v>
      </c>
      <c r="T20" s="168" t="s">
        <v>4299</v>
      </c>
      <c r="U20" s="168">
        <v>192.1</v>
      </c>
      <c r="V20" s="168">
        <f t="shared" ref="V20:V55" si="6">U20*(1+$R$90+$Q$15*S20/36500)</f>
        <v>272.38622136986305</v>
      </c>
      <c r="W20" s="32">
        <f t="shared" ref="W20:W29" si="7">V20*(1+$W$19/100)</f>
        <v>277.8339457972603</v>
      </c>
      <c r="X20" s="32">
        <f t="shared" ref="X20:X29" si="8">V20*(1+$X$19/100)</f>
        <v>283.2816702246576</v>
      </c>
      <c r="Y20" s="115"/>
      <c r="Z20" s="115"/>
      <c r="AH20" s="99">
        <v>1</v>
      </c>
      <c r="AI20" s="113" t="s">
        <v>1104</v>
      </c>
      <c r="AJ20" s="113">
        <v>18000000</v>
      </c>
      <c r="AK20" s="99">
        <v>1</v>
      </c>
      <c r="AL20" s="99">
        <f>AL21+AK20</f>
        <v>663</v>
      </c>
      <c r="AM20" s="113">
        <f>AJ20*AL20</f>
        <v>11934000000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-N41</f>
        <v>1517931704.9878926</v>
      </c>
      <c r="M21" s="168" t="s">
        <v>4291</v>
      </c>
      <c r="N21" s="113">
        <f t="shared" ref="N21:N28" si="9">O21*P21</f>
        <v>822613477.19999993</v>
      </c>
      <c r="O21" s="99">
        <v>1561529</v>
      </c>
      <c r="P21" s="185">
        <f>P63</f>
        <v>526.79999999999995</v>
      </c>
      <c r="Q21" s="169">
        <v>1353959</v>
      </c>
      <c r="R21" s="168" t="s">
        <v>4416</v>
      </c>
      <c r="S21" s="198">
        <f>S20-59</f>
        <v>466</v>
      </c>
      <c r="T21" s="19" t="s">
        <v>4459</v>
      </c>
      <c r="U21" s="168">
        <v>192.2</v>
      </c>
      <c r="V21" s="168">
        <f t="shared" si="6"/>
        <v>263.82899068493151</v>
      </c>
      <c r="W21" s="32">
        <f t="shared" si="7"/>
        <v>269.10557049863013</v>
      </c>
      <c r="X21" s="32">
        <f t="shared" si="8"/>
        <v>274.3821503123288</v>
      </c>
      <c r="Y21" s="115"/>
      <c r="Z21" s="115"/>
      <c r="AH21" s="99">
        <v>2</v>
      </c>
      <c r="AI21" s="113" t="s">
        <v>1106</v>
      </c>
      <c r="AJ21" s="113">
        <v>2500000</v>
      </c>
      <c r="AK21" s="99">
        <v>1</v>
      </c>
      <c r="AL21" s="99">
        <f t="shared" ref="AL21:AL63" si="10">AL22+AK21</f>
        <v>662</v>
      </c>
      <c r="AM21" s="113">
        <f t="shared" ref="AM21:AM120" si="11">AJ21*AL21</f>
        <v>1655000000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5526</v>
      </c>
      <c r="N22" s="113">
        <f t="shared" si="9"/>
        <v>43879.5</v>
      </c>
      <c r="O22" s="99">
        <v>21</v>
      </c>
      <c r="P22" s="185">
        <f>P59</f>
        <v>2089.5</v>
      </c>
      <c r="Q22" s="169">
        <v>1614398</v>
      </c>
      <c r="R22" s="168" t="s">
        <v>4422</v>
      </c>
      <c r="S22" s="168">
        <f>S21-3</f>
        <v>463</v>
      </c>
      <c r="T22" s="19" t="s">
        <v>4492</v>
      </c>
      <c r="U22" s="168">
        <v>184.6</v>
      </c>
      <c r="V22" s="168">
        <f t="shared" si="6"/>
        <v>252.97179397260277</v>
      </c>
      <c r="W22" s="32">
        <f t="shared" si="7"/>
        <v>258.03122985205482</v>
      </c>
      <c r="X22" s="32">
        <f t="shared" si="8"/>
        <v>263.09066573150687</v>
      </c>
      <c r="Y22" s="115"/>
      <c r="Z22" s="115"/>
      <c r="AH22" s="99">
        <v>3</v>
      </c>
      <c r="AI22" s="113" t="s">
        <v>1115</v>
      </c>
      <c r="AJ22" s="113">
        <v>8000000</v>
      </c>
      <c r="AK22" s="99">
        <v>1</v>
      </c>
      <c r="AL22" s="99">
        <f t="shared" si="10"/>
        <v>661</v>
      </c>
      <c r="AM22" s="113">
        <f t="shared" si="11"/>
        <v>5288000000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5553</v>
      </c>
      <c r="N23" s="113">
        <f t="shared" si="9"/>
        <v>263712</v>
      </c>
      <c r="O23" s="99">
        <v>201</v>
      </c>
      <c r="P23" s="185">
        <f>P55</f>
        <v>1312</v>
      </c>
      <c r="Q23" s="169">
        <v>133576</v>
      </c>
      <c r="R23" s="168" t="s">
        <v>4499</v>
      </c>
      <c r="S23" s="197">
        <f>S22-22</f>
        <v>441</v>
      </c>
      <c r="T23" s="168" t="s">
        <v>4500</v>
      </c>
      <c r="U23" s="168">
        <v>166.2</v>
      </c>
      <c r="V23" s="168">
        <f t="shared" si="6"/>
        <v>224.95192767123288</v>
      </c>
      <c r="W23" s="32">
        <f t="shared" si="7"/>
        <v>229.45096622465755</v>
      </c>
      <c r="X23" s="32">
        <f t="shared" si="8"/>
        <v>233.95000477808222</v>
      </c>
      <c r="Y23" s="96"/>
      <c r="Z23" s="96"/>
      <c r="AH23" s="99">
        <v>4</v>
      </c>
      <c r="AI23" s="113" t="s">
        <v>4050</v>
      </c>
      <c r="AJ23" s="113">
        <v>-79552</v>
      </c>
      <c r="AK23" s="99">
        <v>1</v>
      </c>
      <c r="AL23" s="99">
        <f t="shared" si="10"/>
        <v>660</v>
      </c>
      <c r="AM23" s="113">
        <f t="shared" si="11"/>
        <v>-52504320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L77</f>
        <v>1419624660.9878926</v>
      </c>
      <c r="G24" s="95">
        <f t="shared" si="0"/>
        <v>-1139318315.6059539</v>
      </c>
      <c r="H24" s="11"/>
      <c r="I24" s="96"/>
      <c r="J24" s="96"/>
      <c r="K24" s="213" t="s">
        <v>25</v>
      </c>
      <c r="L24" s="117"/>
      <c r="M24" s="213" t="s">
        <v>5554</v>
      </c>
      <c r="N24" s="113">
        <f t="shared" si="9"/>
        <v>84600</v>
      </c>
      <c r="O24" s="99">
        <v>36</v>
      </c>
      <c r="P24" s="185">
        <f>P56</f>
        <v>2350</v>
      </c>
      <c r="Q24" s="169">
        <v>220803</v>
      </c>
      <c r="R24" s="168" t="s">
        <v>4221</v>
      </c>
      <c r="S24" s="197">
        <f>S23-1</f>
        <v>440</v>
      </c>
      <c r="T24" s="168" t="s">
        <v>4506</v>
      </c>
      <c r="U24" s="168">
        <v>166</v>
      </c>
      <c r="V24" s="168">
        <f t="shared" si="6"/>
        <v>224.5538849315069</v>
      </c>
      <c r="W24" s="32">
        <f t="shared" si="7"/>
        <v>229.04496263013704</v>
      </c>
      <c r="X24" s="32">
        <f t="shared" si="8"/>
        <v>233.53604032876717</v>
      </c>
      <c r="Y24" s="96"/>
      <c r="Z24" s="96"/>
      <c r="AH24" s="99">
        <v>5</v>
      </c>
      <c r="AI24" s="113" t="s">
        <v>1127</v>
      </c>
      <c r="AJ24" s="113">
        <v>165500</v>
      </c>
      <c r="AK24" s="99">
        <v>12</v>
      </c>
      <c r="AL24" s="99">
        <f t="shared" si="10"/>
        <v>659</v>
      </c>
      <c r="AM24" s="113">
        <f t="shared" si="11"/>
        <v>109064500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5541</v>
      </c>
      <c r="N25" s="113">
        <f t="shared" si="9"/>
        <v>586044</v>
      </c>
      <c r="O25" s="99">
        <v>1338</v>
      </c>
      <c r="P25" s="185">
        <f>P57</f>
        <v>438</v>
      </c>
      <c r="Q25" s="169">
        <v>1023940</v>
      </c>
      <c r="R25" s="168" t="s">
        <v>4507</v>
      </c>
      <c r="S25" s="197">
        <f>S24-2</f>
        <v>438</v>
      </c>
      <c r="T25" s="168" t="s">
        <v>4513</v>
      </c>
      <c r="U25" s="168">
        <v>160.19999999999999</v>
      </c>
      <c r="V25" s="168">
        <f t="shared" si="6"/>
        <v>216.46224000000001</v>
      </c>
      <c r="W25" s="32">
        <f t="shared" si="7"/>
        <v>220.79148480000001</v>
      </c>
      <c r="X25" s="32">
        <f t="shared" si="8"/>
        <v>225.1207296</v>
      </c>
      <c r="Y25" s="96"/>
      <c r="Z25" s="96" t="s">
        <v>25</v>
      </c>
      <c r="AH25" s="99">
        <v>6</v>
      </c>
      <c r="AI25" s="113" t="s">
        <v>1152</v>
      </c>
      <c r="AJ25" s="113">
        <v>-28830327</v>
      </c>
      <c r="AK25" s="99">
        <v>6</v>
      </c>
      <c r="AL25" s="99">
        <f t="shared" si="10"/>
        <v>647</v>
      </c>
      <c r="AM25" s="113">
        <f t="shared" si="11"/>
        <v>-18653221569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t="s">
        <v>25</v>
      </c>
      <c r="K26" s="213"/>
      <c r="L26" s="117"/>
      <c r="M26" s="213" t="s">
        <v>5527</v>
      </c>
      <c r="N26" s="113">
        <f t="shared" si="9"/>
        <v>149940</v>
      </c>
      <c r="O26" s="99">
        <v>420</v>
      </c>
      <c r="P26" s="185">
        <f>P60</f>
        <v>357</v>
      </c>
      <c r="Q26" s="169">
        <v>168846</v>
      </c>
      <c r="R26" s="168" t="s">
        <v>3687</v>
      </c>
      <c r="S26" s="197">
        <f>S25-28</f>
        <v>410</v>
      </c>
      <c r="T26" s="168" t="s">
        <v>4601</v>
      </c>
      <c r="U26" s="168">
        <v>172.2</v>
      </c>
      <c r="V26" s="168">
        <f t="shared" si="6"/>
        <v>228.97787835616441</v>
      </c>
      <c r="W26" s="32">
        <f t="shared" si="7"/>
        <v>233.5574359232877</v>
      </c>
      <c r="X26" s="32">
        <f t="shared" si="8"/>
        <v>238.13699349041099</v>
      </c>
      <c r="Y26" s="96"/>
      <c r="Z26" s="96"/>
      <c r="AH26" s="99">
        <v>7</v>
      </c>
      <c r="AI26" s="113" t="s">
        <v>1177</v>
      </c>
      <c r="AJ26" s="113">
        <v>18500000</v>
      </c>
      <c r="AK26" s="99">
        <v>1</v>
      </c>
      <c r="AL26" s="99">
        <f t="shared" si="10"/>
        <v>641</v>
      </c>
      <c r="AM26" s="113">
        <f t="shared" si="11"/>
        <v>11858500000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213" t="s">
        <v>5443</v>
      </c>
      <c r="N27" s="113">
        <f t="shared" si="9"/>
        <v>193261.5</v>
      </c>
      <c r="O27" s="99">
        <v>67</v>
      </c>
      <c r="P27" s="185">
        <f>P61</f>
        <v>2884.5</v>
      </c>
      <c r="Q27" s="169">
        <v>350718</v>
      </c>
      <c r="R27" s="213" t="s">
        <v>4665</v>
      </c>
      <c r="S27" s="197">
        <f>S26-17</f>
        <v>393</v>
      </c>
      <c r="T27" s="213" t="s">
        <v>4666</v>
      </c>
      <c r="U27" s="213">
        <v>502.3</v>
      </c>
      <c r="V27" s="213">
        <f t="shared" si="6"/>
        <v>661.36808876712337</v>
      </c>
      <c r="W27" s="32">
        <f t="shared" si="7"/>
        <v>674.59545054246587</v>
      </c>
      <c r="X27" s="32">
        <f t="shared" si="8"/>
        <v>687.82281231780837</v>
      </c>
      <c r="Y27" s="96"/>
      <c r="Z27" s="96"/>
      <c r="AH27" s="99">
        <v>8</v>
      </c>
      <c r="AI27" s="113" t="s">
        <v>1186</v>
      </c>
      <c r="AJ27" s="113">
        <v>-18550000</v>
      </c>
      <c r="AK27" s="99">
        <v>1</v>
      </c>
      <c r="AL27" s="99">
        <f t="shared" si="10"/>
        <v>640</v>
      </c>
      <c r="AM27" s="113">
        <f t="shared" si="11"/>
        <v>-11872000000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4457</v>
      </c>
      <c r="L28" s="117">
        <f>-'فروردین 98'!D126</f>
        <v>-22303979</v>
      </c>
      <c r="M28" s="213" t="s">
        <v>4397</v>
      </c>
      <c r="N28" s="113">
        <f t="shared" si="9"/>
        <v>110616076.39999999</v>
      </c>
      <c r="O28" s="99">
        <v>71908</v>
      </c>
      <c r="P28" s="185">
        <f>P53</f>
        <v>1538.3</v>
      </c>
      <c r="Q28" s="169">
        <v>17953742</v>
      </c>
      <c r="R28" s="213" t="s">
        <v>3680</v>
      </c>
      <c r="S28" s="197">
        <f>S27-15</f>
        <v>378</v>
      </c>
      <c r="T28" s="213" t="s">
        <v>4702</v>
      </c>
      <c r="U28" s="213">
        <v>486.4</v>
      </c>
      <c r="V28" s="213">
        <f t="shared" si="6"/>
        <v>634.83595397260274</v>
      </c>
      <c r="W28" s="32">
        <f t="shared" si="7"/>
        <v>647.53267305205475</v>
      </c>
      <c r="X28" s="32">
        <f t="shared" si="8"/>
        <v>660.22939213150687</v>
      </c>
      <c r="Y28" s="96"/>
      <c r="Z28" s="96"/>
      <c r="AH28" s="99">
        <v>9</v>
      </c>
      <c r="AI28" s="113" t="s">
        <v>1193</v>
      </c>
      <c r="AJ28" s="113">
        <v>-64961</v>
      </c>
      <c r="AK28" s="99">
        <v>5</v>
      </c>
      <c r="AL28" s="99">
        <f t="shared" si="10"/>
        <v>639</v>
      </c>
      <c r="AM28" s="113">
        <f t="shared" si="11"/>
        <v>-41510079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J29" t="s">
        <v>25</v>
      </c>
      <c r="K29" s="168"/>
      <c r="L29" s="117"/>
      <c r="M29" s="168"/>
      <c r="N29" s="113"/>
      <c r="O29" s="69"/>
      <c r="P29" s="99"/>
      <c r="Q29" s="169">
        <v>9566181</v>
      </c>
      <c r="R29" s="213" t="s">
        <v>4703</v>
      </c>
      <c r="S29" s="197">
        <f>S28-1</f>
        <v>377</v>
      </c>
      <c r="T29" s="213" t="s">
        <v>4704</v>
      </c>
      <c r="U29" s="213">
        <v>476.1</v>
      </c>
      <c r="V29" s="213">
        <f t="shared" si="6"/>
        <v>621.02744876712336</v>
      </c>
      <c r="W29" s="32">
        <f t="shared" si="7"/>
        <v>633.44799774246587</v>
      </c>
      <c r="X29" s="32">
        <f t="shared" si="8"/>
        <v>645.86854671780827</v>
      </c>
      <c r="Y29" s="96"/>
      <c r="Z29" s="96"/>
      <c r="AH29" s="99">
        <v>10</v>
      </c>
      <c r="AI29" s="113" t="s">
        <v>1209</v>
      </c>
      <c r="AJ29" s="113">
        <v>6400000</v>
      </c>
      <c r="AK29" s="99">
        <v>1</v>
      </c>
      <c r="AL29" s="99">
        <f t="shared" si="10"/>
        <v>634</v>
      </c>
      <c r="AM29" s="113">
        <f t="shared" si="11"/>
        <v>4057600000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t="s">
        <v>456</v>
      </c>
      <c r="L30" s="117">
        <v>250000</v>
      </c>
      <c r="M30" s="189" t="s">
        <v>4444</v>
      </c>
      <c r="N30" s="113">
        <v>358</v>
      </c>
      <c r="O30" s="275"/>
      <c r="P30" s="99" t="s">
        <v>25</v>
      </c>
      <c r="Q30" s="169">
        <v>1563192</v>
      </c>
      <c r="R30" s="213" t="s">
        <v>4703</v>
      </c>
      <c r="S30" s="197">
        <f>S29</f>
        <v>377</v>
      </c>
      <c r="T30" s="213" t="s">
        <v>4705</v>
      </c>
      <c r="U30" s="213">
        <v>168.8</v>
      </c>
      <c r="V30" s="213">
        <f t="shared" si="6"/>
        <v>220.1836449315069</v>
      </c>
      <c r="W30" s="32">
        <f t="shared" ref="W30:W44" si="13">V30*(1+$W$19/100)</f>
        <v>224.58731783013704</v>
      </c>
      <c r="X30" s="32">
        <f t="shared" ref="X30:X44" si="14">V30*(1+$X$19/100)</f>
        <v>228.9909907287672</v>
      </c>
      <c r="Y30" s="96"/>
      <c r="Z30" s="96"/>
      <c r="AH30" s="99">
        <v>11</v>
      </c>
      <c r="AI30" s="113" t="s">
        <v>4051</v>
      </c>
      <c r="AJ30" s="113">
        <v>-170000</v>
      </c>
      <c r="AK30" s="99">
        <v>5</v>
      </c>
      <c r="AL30" s="99">
        <f t="shared" si="10"/>
        <v>633</v>
      </c>
      <c r="AM30" s="113">
        <f t="shared" si="11"/>
        <v>-107610000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4383</v>
      </c>
      <c r="N31" s="113">
        <f t="shared" ref="N31:N38" si="15">O31*P31</f>
        <v>12460602.799999999</v>
      </c>
      <c r="O31" s="69">
        <v>1436</v>
      </c>
      <c r="P31" s="99">
        <f>P62</f>
        <v>8677.2999999999993</v>
      </c>
      <c r="Q31" s="169">
        <v>7634773</v>
      </c>
      <c r="R31" s="213" t="s">
        <v>4721</v>
      </c>
      <c r="S31" s="197">
        <f>S30-6</f>
        <v>371</v>
      </c>
      <c r="T31" s="213" t="s">
        <v>5517</v>
      </c>
      <c r="U31" s="213">
        <v>525.1</v>
      </c>
      <c r="V31" s="213">
        <f t="shared" si="6"/>
        <v>682.52641863013707</v>
      </c>
      <c r="W31" s="32">
        <f t="shared" si="13"/>
        <v>696.17694700273978</v>
      </c>
      <c r="X31" s="32">
        <f t="shared" si="14"/>
        <v>709.8274753753426</v>
      </c>
      <c r="Y31" s="96"/>
      <c r="Z31" s="96"/>
      <c r="AH31" s="99">
        <v>12</v>
      </c>
      <c r="AI31" s="113" t="s">
        <v>1229</v>
      </c>
      <c r="AJ31" s="113">
        <v>-6300000</v>
      </c>
      <c r="AK31" s="99">
        <v>1</v>
      </c>
      <c r="AL31" s="99">
        <f>AL32+AK31</f>
        <v>628</v>
      </c>
      <c r="AM31" s="113">
        <f t="shared" si="11"/>
        <v>-3956400000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5541</v>
      </c>
      <c r="N32" s="113">
        <f t="shared" si="15"/>
        <v>586044</v>
      </c>
      <c r="O32" s="69">
        <v>1338</v>
      </c>
      <c r="P32" s="99">
        <f>P57</f>
        <v>438</v>
      </c>
      <c r="Q32" s="169">
        <v>1204691</v>
      </c>
      <c r="R32" s="213" t="s">
        <v>4925</v>
      </c>
      <c r="S32" s="197">
        <f>S31-70</f>
        <v>301</v>
      </c>
      <c r="T32" s="213" t="s">
        <v>4926</v>
      </c>
      <c r="U32" s="213">
        <v>218.5</v>
      </c>
      <c r="V32" s="213">
        <f t="shared" si="6"/>
        <v>272.27374794520551</v>
      </c>
      <c r="W32" s="32">
        <f t="shared" si="13"/>
        <v>277.71922290410964</v>
      </c>
      <c r="X32" s="32">
        <f t="shared" si="14"/>
        <v>283.16469786301377</v>
      </c>
      <c r="Y32" s="96"/>
      <c r="Z32" s="96"/>
      <c r="AH32" s="99">
        <v>13</v>
      </c>
      <c r="AI32" s="113" t="s">
        <v>1238</v>
      </c>
      <c r="AJ32" s="113">
        <v>-52015</v>
      </c>
      <c r="AK32" s="99">
        <v>16</v>
      </c>
      <c r="AL32" s="99">
        <f t="shared" si="10"/>
        <v>627</v>
      </c>
      <c r="AM32" s="113">
        <f t="shared" si="11"/>
        <v>-32613405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5553</v>
      </c>
      <c r="N33" s="113">
        <f t="shared" si="15"/>
        <v>262400</v>
      </c>
      <c r="O33" s="69">
        <v>200</v>
      </c>
      <c r="P33" s="99">
        <f>P55</f>
        <v>1312</v>
      </c>
      <c r="Q33" s="169">
        <v>15011877</v>
      </c>
      <c r="R33" s="213" t="s">
        <v>4929</v>
      </c>
      <c r="S33" s="197">
        <f>S32-3</f>
        <v>298</v>
      </c>
      <c r="T33" s="213" t="s">
        <v>4933</v>
      </c>
      <c r="U33" s="213">
        <v>197.1</v>
      </c>
      <c r="V33" s="213">
        <f t="shared" si="6"/>
        <v>245.15352000000004</v>
      </c>
      <c r="W33" s="32">
        <f t="shared" si="13"/>
        <v>250.05659040000006</v>
      </c>
      <c r="X33" s="32">
        <f t="shared" si="14"/>
        <v>254.95966080000005</v>
      </c>
      <c r="Y33" s="96"/>
      <c r="Z33" s="96"/>
      <c r="AH33" s="99">
        <v>14</v>
      </c>
      <c r="AI33" s="113" t="s">
        <v>3704</v>
      </c>
      <c r="AJ33" s="113">
        <v>20017400</v>
      </c>
      <c r="AK33" s="99">
        <v>0</v>
      </c>
      <c r="AL33" s="99">
        <f t="shared" si="10"/>
        <v>611</v>
      </c>
      <c r="AM33" s="113">
        <f t="shared" si="11"/>
        <v>12230631400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213"/>
      <c r="L34" s="117"/>
      <c r="M34" s="189" t="s">
        <v>5554</v>
      </c>
      <c r="N34" s="113">
        <f t="shared" si="15"/>
        <v>84600</v>
      </c>
      <c r="O34" s="69">
        <v>36</v>
      </c>
      <c r="P34" s="99">
        <f>P56</f>
        <v>2350</v>
      </c>
      <c r="Q34" s="169">
        <v>12803120</v>
      </c>
      <c r="R34" s="213" t="s">
        <v>4942</v>
      </c>
      <c r="S34" s="197">
        <f>S33-5</f>
        <v>293</v>
      </c>
      <c r="T34" s="213" t="s">
        <v>4944</v>
      </c>
      <c r="U34" s="213">
        <v>194.4</v>
      </c>
      <c r="V34" s="213">
        <f t="shared" si="6"/>
        <v>241.04960876712329</v>
      </c>
      <c r="W34" s="32">
        <f t="shared" si="13"/>
        <v>245.87060094246576</v>
      </c>
      <c r="X34" s="32">
        <f t="shared" si="14"/>
        <v>250.69159311780822</v>
      </c>
      <c r="Y34" s="96"/>
      <c r="Z34" s="96"/>
      <c r="AH34" s="99">
        <v>15</v>
      </c>
      <c r="AI34" s="113" t="s">
        <v>3704</v>
      </c>
      <c r="AJ34" s="113">
        <v>1014466</v>
      </c>
      <c r="AK34" s="99">
        <v>12</v>
      </c>
      <c r="AL34" s="99">
        <f t="shared" si="10"/>
        <v>611</v>
      </c>
      <c r="AM34" s="113">
        <f t="shared" si="11"/>
        <v>619838726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213"/>
      <c r="L35" s="117" t="s">
        <v>25</v>
      </c>
      <c r="M35" s="189" t="s">
        <v>5526</v>
      </c>
      <c r="N35" s="113">
        <f t="shared" si="15"/>
        <v>43879.5</v>
      </c>
      <c r="O35" s="69">
        <v>21</v>
      </c>
      <c r="P35" s="99">
        <f>P59</f>
        <v>2089.5</v>
      </c>
      <c r="Q35" s="169">
        <v>100562</v>
      </c>
      <c r="R35" s="213" t="s">
        <v>4950</v>
      </c>
      <c r="S35" s="197">
        <f>S34-6</f>
        <v>287</v>
      </c>
      <c r="T35" s="213" t="s">
        <v>4951</v>
      </c>
      <c r="U35" s="213">
        <v>190.3</v>
      </c>
      <c r="V35" s="213">
        <f t="shared" si="6"/>
        <v>235.08984219178086</v>
      </c>
      <c r="W35" s="32">
        <f t="shared" si="13"/>
        <v>239.79163903561647</v>
      </c>
      <c r="X35" s="32">
        <f t="shared" si="14"/>
        <v>244.49343587945211</v>
      </c>
      <c r="Y35" s="96" t="s">
        <v>25</v>
      </c>
      <c r="Z35" s="96" t="s">
        <v>25</v>
      </c>
      <c r="AH35" s="99">
        <v>16</v>
      </c>
      <c r="AI35" s="113" t="s">
        <v>1140</v>
      </c>
      <c r="AJ35" s="113">
        <v>360000</v>
      </c>
      <c r="AK35" s="99">
        <v>2</v>
      </c>
      <c r="AL35" s="99">
        <f t="shared" si="10"/>
        <v>599</v>
      </c>
      <c r="AM35" s="113">
        <f t="shared" si="11"/>
        <v>215640000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J36" t="s">
        <v>25</v>
      </c>
      <c r="K36" s="213"/>
      <c r="L36" s="117"/>
      <c r="M36" s="189" t="s">
        <v>5527</v>
      </c>
      <c r="N36" s="113">
        <f t="shared" si="15"/>
        <v>149940</v>
      </c>
      <c r="O36" s="69">
        <v>420</v>
      </c>
      <c r="P36" s="99">
        <f>P60</f>
        <v>357</v>
      </c>
      <c r="Q36" s="169">
        <v>198647697</v>
      </c>
      <c r="R36" s="213" t="s">
        <v>4954</v>
      </c>
      <c r="S36" s="197">
        <f>S35-2</f>
        <v>285</v>
      </c>
      <c r="T36" s="213" t="s">
        <v>4998</v>
      </c>
      <c r="U36" s="213">
        <v>195.5</v>
      </c>
      <c r="V36" s="213">
        <f t="shared" si="6"/>
        <v>241.21379178082194</v>
      </c>
      <c r="W36" s="32">
        <f t="shared" si="13"/>
        <v>246.03806761643838</v>
      </c>
      <c r="X36" s="32">
        <f t="shared" si="14"/>
        <v>250.86234345205483</v>
      </c>
      <c r="Y36" s="96" t="s">
        <v>25</v>
      </c>
      <c r="Z36" s="96"/>
      <c r="AH36" s="99">
        <v>17</v>
      </c>
      <c r="AI36" s="113" t="s">
        <v>3764</v>
      </c>
      <c r="AJ36" s="113">
        <v>-350000</v>
      </c>
      <c r="AK36" s="99">
        <v>0</v>
      </c>
      <c r="AL36" s="99">
        <f t="shared" si="10"/>
        <v>597</v>
      </c>
      <c r="AM36" s="113">
        <f t="shared" si="11"/>
        <v>-208950000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213"/>
      <c r="L37" s="117"/>
      <c r="M37" s="189" t="s">
        <v>5443</v>
      </c>
      <c r="N37" s="113">
        <f t="shared" si="15"/>
        <v>193261.5</v>
      </c>
      <c r="O37" s="69">
        <v>67</v>
      </c>
      <c r="P37" s="99">
        <f>P61</f>
        <v>2884.5</v>
      </c>
      <c r="Q37" s="169">
        <v>9986627</v>
      </c>
      <c r="R37" s="213" t="s">
        <v>5000</v>
      </c>
      <c r="S37" s="197">
        <f>S36-21</f>
        <v>264</v>
      </c>
      <c r="T37" s="213" t="s">
        <v>5002</v>
      </c>
      <c r="U37" s="213">
        <v>200.2</v>
      </c>
      <c r="V37" s="213">
        <f t="shared" si="6"/>
        <v>243.78765369863015</v>
      </c>
      <c r="W37" s="32">
        <f t="shared" si="13"/>
        <v>248.66340677260277</v>
      </c>
      <c r="X37" s="32">
        <f t="shared" si="14"/>
        <v>253.53915984657536</v>
      </c>
      <c r="Y37" s="96" t="s">
        <v>25</v>
      </c>
      <c r="Z37" s="96"/>
      <c r="AH37" s="99">
        <v>18</v>
      </c>
      <c r="AI37" s="113" t="s">
        <v>3764</v>
      </c>
      <c r="AJ37" s="113">
        <v>1000</v>
      </c>
      <c r="AK37" s="99">
        <v>1</v>
      </c>
      <c r="AL37" s="99">
        <f t="shared" si="10"/>
        <v>597</v>
      </c>
      <c r="AM37" s="113">
        <f t="shared" si="11"/>
        <v>597000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213"/>
      <c r="L38" s="117"/>
      <c r="M38" s="189" t="s">
        <v>4423</v>
      </c>
      <c r="N38" s="113">
        <f t="shared" si="15"/>
        <v>92530839.599999994</v>
      </c>
      <c r="O38" s="69">
        <v>175647</v>
      </c>
      <c r="P38" s="99">
        <f>P63</f>
        <v>526.79999999999995</v>
      </c>
      <c r="Q38" s="169">
        <v>499908</v>
      </c>
      <c r="R38" s="213" t="s">
        <v>5005</v>
      </c>
      <c r="S38" s="197">
        <f>S37-1</f>
        <v>263</v>
      </c>
      <c r="T38" s="213" t="s">
        <v>5009</v>
      </c>
      <c r="U38" s="213">
        <v>200</v>
      </c>
      <c r="V38" s="213">
        <f t="shared" si="6"/>
        <v>243.39068493150688</v>
      </c>
      <c r="W38" s="32">
        <f t="shared" si="13"/>
        <v>248.25849863013701</v>
      </c>
      <c r="X38" s="32">
        <f t="shared" si="14"/>
        <v>253.12631232876717</v>
      </c>
      <c r="Y38" s="96" t="s">
        <v>25</v>
      </c>
      <c r="Z38" s="96"/>
      <c r="AH38" s="99">
        <v>19</v>
      </c>
      <c r="AI38" s="113" t="s">
        <v>3768</v>
      </c>
      <c r="AJ38" s="113">
        <v>33610000</v>
      </c>
      <c r="AK38" s="99">
        <v>4</v>
      </c>
      <c r="AL38" s="99">
        <f t="shared" si="10"/>
        <v>596</v>
      </c>
      <c r="AM38" s="113">
        <f t="shared" si="11"/>
        <v>20031560000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c r="N39" s="113"/>
      <c r="P39" t="s">
        <v>25</v>
      </c>
      <c r="Q39" s="169">
        <v>850188</v>
      </c>
      <c r="R39" s="213" t="s">
        <v>5012</v>
      </c>
      <c r="S39" s="197">
        <f>S38-1</f>
        <v>262</v>
      </c>
      <c r="T39" s="213" t="s">
        <v>5013</v>
      </c>
      <c r="U39" s="213">
        <v>201.9</v>
      </c>
      <c r="V39" s="213">
        <f t="shared" si="6"/>
        <v>245.54801424657535</v>
      </c>
      <c r="W39" s="32">
        <f t="shared" si="13"/>
        <v>250.45897453150687</v>
      </c>
      <c r="X39" s="32">
        <f t="shared" si="14"/>
        <v>255.36993481643836</v>
      </c>
      <c r="Y39" s="96"/>
      <c r="Z39" s="96"/>
      <c r="AA39" s="96"/>
      <c r="AB39" s="96"/>
      <c r="AC39" s="96"/>
      <c r="AD39" s="96"/>
      <c r="AH39" s="99">
        <v>20</v>
      </c>
      <c r="AI39" s="113" t="s">
        <v>4052</v>
      </c>
      <c r="AJ39" s="113">
        <v>-15600000</v>
      </c>
      <c r="AK39" s="99">
        <v>3</v>
      </c>
      <c r="AL39" s="99">
        <f t="shared" si="10"/>
        <v>592</v>
      </c>
      <c r="AM39" s="113">
        <f t="shared" si="11"/>
        <v>-9235200000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t="s">
        <v>25</v>
      </c>
      <c r="L40" s="117"/>
      <c r="M40" s="168" t="s">
        <v>754</v>
      </c>
      <c r="N40" s="113">
        <v>3000000</v>
      </c>
      <c r="P40" t="s">
        <v>25</v>
      </c>
      <c r="Q40" s="169">
        <v>119890</v>
      </c>
      <c r="R40" s="213" t="s">
        <v>5026</v>
      </c>
      <c r="S40" s="197">
        <f>S39-6</f>
        <v>256</v>
      </c>
      <c r="T40" s="213" t="s">
        <v>5028</v>
      </c>
      <c r="U40" s="213">
        <v>210.1</v>
      </c>
      <c r="V40" s="213">
        <f t="shared" si="6"/>
        <v>254.55370630136989</v>
      </c>
      <c r="W40" s="32">
        <f t="shared" si="13"/>
        <v>259.64478042739728</v>
      </c>
      <c r="X40" s="32">
        <f t="shared" si="14"/>
        <v>264.7358545534247</v>
      </c>
      <c r="Y40" s="96" t="s">
        <v>25</v>
      </c>
      <c r="Z40" s="96" t="s">
        <v>25</v>
      </c>
      <c r="AA40" s="96"/>
      <c r="AB40" s="96"/>
      <c r="AC40" s="96"/>
      <c r="AD40" s="96"/>
      <c r="AH40" s="99">
        <v>21</v>
      </c>
      <c r="AI40" s="113" t="s">
        <v>3782</v>
      </c>
      <c r="AJ40" s="113">
        <v>7500000</v>
      </c>
      <c r="AK40" s="99">
        <v>4</v>
      </c>
      <c r="AL40" s="99">
        <f t="shared" si="10"/>
        <v>589</v>
      </c>
      <c r="AM40" s="113">
        <f t="shared" si="11"/>
        <v>4417500000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t="s">
        <v>916</v>
      </c>
      <c r="L41" s="117">
        <v>4800000</v>
      </c>
      <c r="M41" s="168" t="s">
        <v>4145</v>
      </c>
      <c r="N41" s="113">
        <f>-S172</f>
        <v>-1517931704.9878926</v>
      </c>
      <c r="O41" s="96"/>
      <c r="P41" s="96" t="s">
        <v>25</v>
      </c>
      <c r="Q41" s="169">
        <v>102858</v>
      </c>
      <c r="R41" s="213" t="s">
        <v>5044</v>
      </c>
      <c r="S41" s="197">
        <f>S40-6</f>
        <v>250</v>
      </c>
      <c r="T41" s="213" t="s">
        <v>5046</v>
      </c>
      <c r="U41" s="213">
        <v>213.3</v>
      </c>
      <c r="V41" s="213">
        <f t="shared" si="6"/>
        <v>257.44900931506851</v>
      </c>
      <c r="W41" s="32">
        <f t="shared" si="13"/>
        <v>262.59798950136991</v>
      </c>
      <c r="X41" s="32">
        <f t="shared" si="14"/>
        <v>267.74696968767125</v>
      </c>
      <c r="Y41" s="96"/>
      <c r="Z41" s="96"/>
      <c r="AA41" s="96"/>
      <c r="AB41" s="96"/>
      <c r="AC41" s="96"/>
      <c r="AD41" s="96"/>
      <c r="AH41" s="99">
        <v>22</v>
      </c>
      <c r="AI41" s="113" t="s">
        <v>4053</v>
      </c>
      <c r="AJ41" s="113">
        <v>-98000</v>
      </c>
      <c r="AK41" s="99">
        <v>1</v>
      </c>
      <c r="AL41" s="99">
        <f t="shared" si="10"/>
        <v>585</v>
      </c>
      <c r="AM41" s="113">
        <f t="shared" si="11"/>
        <v>-57330000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c r="L42" s="117"/>
      <c r="M42" s="168" t="s">
        <v>751</v>
      </c>
      <c r="N42" s="113">
        <v>500000</v>
      </c>
      <c r="O42" s="96"/>
      <c r="P42" s="122" t="s">
        <v>25</v>
      </c>
      <c r="Q42" s="169">
        <v>9991144</v>
      </c>
      <c r="R42" s="213" t="s">
        <v>5049</v>
      </c>
      <c r="S42" s="197">
        <f>S41-2</f>
        <v>248</v>
      </c>
      <c r="T42" s="213" t="s">
        <v>5051</v>
      </c>
      <c r="U42" s="213">
        <v>221</v>
      </c>
      <c r="V42" s="213">
        <f t="shared" si="6"/>
        <v>266.40369315068494</v>
      </c>
      <c r="W42" s="32">
        <f t="shared" si="13"/>
        <v>271.73176701369863</v>
      </c>
      <c r="X42" s="32">
        <f t="shared" si="14"/>
        <v>277.05984087671237</v>
      </c>
      <c r="Y42" s="115" t="s">
        <v>25</v>
      </c>
      <c r="Z42" s="115"/>
      <c r="AA42" s="115"/>
      <c r="AB42" s="115"/>
      <c r="AC42" s="115"/>
      <c r="AD42" s="115"/>
      <c r="AE42" s="115"/>
      <c r="AF42" s="115"/>
      <c r="AH42" s="99">
        <v>23</v>
      </c>
      <c r="AI42" s="113" t="s">
        <v>4047</v>
      </c>
      <c r="AJ42" s="113">
        <v>-26000000</v>
      </c>
      <c r="AK42" s="99">
        <v>0</v>
      </c>
      <c r="AL42" s="99">
        <f t="shared" si="10"/>
        <v>584</v>
      </c>
      <c r="AM42" s="113">
        <f t="shared" si="11"/>
        <v>-15184000000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168" t="s">
        <v>1082</v>
      </c>
      <c r="L43" s="117">
        <f>'خرید و فروش سکه فیزیکی'!M48*10*P65</f>
        <v>0</v>
      </c>
      <c r="M43" s="168" t="s">
        <v>758</v>
      </c>
      <c r="N43" s="113">
        <v>1200000</v>
      </c>
      <c r="O43" s="114" t="s">
        <v>25</v>
      </c>
      <c r="P43" t="s">
        <v>25</v>
      </c>
      <c r="Q43" s="169">
        <v>23124984</v>
      </c>
      <c r="R43" s="213" t="s">
        <v>5075</v>
      </c>
      <c r="S43" s="197">
        <f>S42-19</f>
        <v>229</v>
      </c>
      <c r="T43" s="213" t="s">
        <v>5076</v>
      </c>
      <c r="U43" s="213">
        <v>234</v>
      </c>
      <c r="V43" s="213">
        <f t="shared" si="6"/>
        <v>278.66386849315069</v>
      </c>
      <c r="W43" s="32">
        <f t="shared" si="13"/>
        <v>284.23714586301372</v>
      </c>
      <c r="X43" s="32">
        <f t="shared" si="14"/>
        <v>289.8104232328767</v>
      </c>
      <c r="Y43" s="115"/>
      <c r="Z43" s="115"/>
      <c r="AA43" s="115" t="s">
        <v>25</v>
      </c>
      <c r="AB43" s="115"/>
      <c r="AC43" s="115"/>
      <c r="AD43" s="115"/>
      <c r="AE43" s="115"/>
      <c r="AF43" s="115"/>
      <c r="AH43" s="99">
        <v>24</v>
      </c>
      <c r="AI43" s="113" t="s">
        <v>4047</v>
      </c>
      <c r="AJ43" s="113">
        <v>25000000</v>
      </c>
      <c r="AK43" s="99">
        <v>1</v>
      </c>
      <c r="AL43" s="99">
        <f t="shared" si="10"/>
        <v>584</v>
      </c>
      <c r="AM43" s="113">
        <f t="shared" si="11"/>
        <v>14600000000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168" t="s">
        <v>5008</v>
      </c>
      <c r="L44" s="117">
        <v>-47500000</v>
      </c>
      <c r="M44" s="73"/>
      <c r="N44" s="113"/>
      <c r="O44" s="96" t="s">
        <v>25</v>
      </c>
      <c r="P44" s="96" t="s">
        <v>25</v>
      </c>
      <c r="Q44" s="169">
        <v>25471401</v>
      </c>
      <c r="R44" s="213" t="s">
        <v>5077</v>
      </c>
      <c r="S44" s="197">
        <f>S43-1</f>
        <v>228</v>
      </c>
      <c r="T44" s="213" t="s">
        <v>5509</v>
      </c>
      <c r="U44" s="213">
        <v>224</v>
      </c>
      <c r="V44" s="213">
        <f t="shared" si="6"/>
        <v>266.58332054794522</v>
      </c>
      <c r="W44" s="32">
        <f t="shared" si="13"/>
        <v>271.91498695890414</v>
      </c>
      <c r="X44" s="32">
        <f t="shared" si="14"/>
        <v>277.24665336986305</v>
      </c>
      <c r="Y44" s="115" t="s">
        <v>25</v>
      </c>
      <c r="Z44" s="115"/>
      <c r="AA44" s="115"/>
      <c r="AB44" s="115"/>
      <c r="AC44" s="115"/>
      <c r="AD44" s="115" t="s">
        <v>25</v>
      </c>
      <c r="AE44" s="115"/>
      <c r="AF44" s="115"/>
      <c r="AH44" s="99">
        <v>25</v>
      </c>
      <c r="AI44" s="113" t="s">
        <v>4048</v>
      </c>
      <c r="AJ44" s="113">
        <v>110000</v>
      </c>
      <c r="AK44" s="99">
        <v>1</v>
      </c>
      <c r="AL44" s="99">
        <f t="shared" si="10"/>
        <v>583</v>
      </c>
      <c r="AM44" s="113">
        <f t="shared" si="11"/>
        <v>64130000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168"/>
      <c r="L45" s="117"/>
      <c r="M45" s="168"/>
      <c r="N45" s="113"/>
      <c r="O45" s="96" t="s">
        <v>25</v>
      </c>
      <c r="P45" s="96" t="s">
        <v>25</v>
      </c>
      <c r="Q45" s="169">
        <v>1962799</v>
      </c>
      <c r="R45" s="213" t="s">
        <v>5267</v>
      </c>
      <c r="S45" s="197">
        <f>S44-102</f>
        <v>126</v>
      </c>
      <c r="T45" s="213" t="s">
        <v>5292</v>
      </c>
      <c r="U45" s="213">
        <v>6513.1</v>
      </c>
      <c r="V45" s="213">
        <f t="shared" si="6"/>
        <v>7241.6393063013711</v>
      </c>
      <c r="W45" s="32">
        <f t="shared" ref="W45" si="16">V45*(1+$W$19/100)</f>
        <v>7386.4720924273988</v>
      </c>
      <c r="X45" s="32">
        <f t="shared" ref="X45" si="17">V45*(1+$X$19/100)</f>
        <v>7531.3048785534265</v>
      </c>
      <c r="Y45" s="115"/>
      <c r="Z45" s="115"/>
      <c r="AA45" s="115"/>
      <c r="AB45" s="115"/>
      <c r="AC45" s="115" t="s">
        <v>25</v>
      </c>
      <c r="AD45" s="115" t="s">
        <v>25</v>
      </c>
      <c r="AE45" s="115"/>
      <c r="AF45" s="115" t="s">
        <v>25</v>
      </c>
      <c r="AH45" s="99">
        <v>26</v>
      </c>
      <c r="AI45" s="113" t="s">
        <v>3797</v>
      </c>
      <c r="AJ45" s="113">
        <v>380000</v>
      </c>
      <c r="AK45" s="99">
        <v>7</v>
      </c>
      <c r="AL45" s="99">
        <f t="shared" si="10"/>
        <v>582</v>
      </c>
      <c r="AM45" s="113">
        <f t="shared" si="11"/>
        <v>221160000</v>
      </c>
      <c r="AN45" s="99"/>
      <c r="AQ45" s="96"/>
      <c r="AR45" s="96"/>
      <c r="AS45" s="96"/>
      <c r="AV45" s="96"/>
    </row>
    <row r="46" spans="1:54" ht="16.5">
      <c r="A46" s="62">
        <v>99</v>
      </c>
      <c r="B46" s="11">
        <v>44</v>
      </c>
      <c r="C46" s="50">
        <f t="shared" si="4"/>
        <v>4968845.0263747573</v>
      </c>
      <c r="D46" s="3">
        <f t="shared" si="5"/>
        <v>4036335.7543016877</v>
      </c>
      <c r="E46" s="3">
        <f t="shared" si="12"/>
        <v>456143524.53016472</v>
      </c>
      <c r="F46" s="3"/>
      <c r="G46" s="11"/>
      <c r="H46" s="11"/>
      <c r="J46" s="114"/>
      <c r="K46" s="168"/>
      <c r="L46" s="117"/>
      <c r="M46" s="168" t="s">
        <v>5499</v>
      </c>
      <c r="N46" s="113">
        <v>-14000000</v>
      </c>
      <c r="O46" s="242"/>
      <c r="P46" s="114" t="s">
        <v>25</v>
      </c>
      <c r="Q46" s="169">
        <v>114428</v>
      </c>
      <c r="R46" s="213" t="s">
        <v>5442</v>
      </c>
      <c r="S46" s="197">
        <f>S45-116</f>
        <v>10</v>
      </c>
      <c r="T46" s="213" t="s">
        <v>5468</v>
      </c>
      <c r="U46" s="213">
        <v>1700</v>
      </c>
      <c r="V46" s="213">
        <f t="shared" si="6"/>
        <v>1738.8810958904112</v>
      </c>
      <c r="W46" s="32">
        <f t="shared" ref="W46:W47" si="18">V46*(1+$W$19/100)</f>
        <v>1773.6587178082195</v>
      </c>
      <c r="X46" s="32">
        <f t="shared" ref="X46:X47" si="19">V46*(1+$X$19/100)</f>
        <v>1808.4363397260277</v>
      </c>
      <c r="Y46" s="115" t="s">
        <v>25</v>
      </c>
      <c r="Z46" s="115"/>
      <c r="AA46" s="115"/>
      <c r="AB46" s="115"/>
      <c r="AC46" s="115"/>
      <c r="AD46" s="115"/>
      <c r="AE46" s="115"/>
      <c r="AF46" s="115"/>
      <c r="AH46" s="99">
        <v>27</v>
      </c>
      <c r="AI46" s="113" t="s">
        <v>3883</v>
      </c>
      <c r="AJ46" s="113">
        <v>450000</v>
      </c>
      <c r="AK46" s="99">
        <v>6</v>
      </c>
      <c r="AL46" s="99">
        <f t="shared" si="10"/>
        <v>575</v>
      </c>
      <c r="AM46" s="113">
        <f t="shared" si="11"/>
        <v>258750000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168"/>
      <c r="L47" s="117"/>
      <c r="M47" s="168" t="s">
        <v>5007</v>
      </c>
      <c r="N47" s="113">
        <v>-47000000</v>
      </c>
      <c r="O47" s="96"/>
      <c r="P47" s="96" t="s">
        <v>25</v>
      </c>
      <c r="Q47" s="169">
        <v>2595868</v>
      </c>
      <c r="R47" s="213" t="s">
        <v>5514</v>
      </c>
      <c r="S47" s="197">
        <f>S46-13</f>
        <v>-3</v>
      </c>
      <c r="T47" s="213" t="s">
        <v>5520</v>
      </c>
      <c r="U47" s="213">
        <v>520</v>
      </c>
      <c r="V47" s="213">
        <f t="shared" si="6"/>
        <v>526.70728767123296</v>
      </c>
      <c r="W47" s="32">
        <f t="shared" si="18"/>
        <v>537.24143342465766</v>
      </c>
      <c r="X47" s="32">
        <f t="shared" si="19"/>
        <v>547.77557917808235</v>
      </c>
      <c r="Y47" s="122" t="s">
        <v>25</v>
      </c>
      <c r="Z47" s="115"/>
      <c r="AA47" s="115"/>
      <c r="AB47" s="115"/>
      <c r="AC47" s="115"/>
      <c r="AD47" s="115" t="s">
        <v>25</v>
      </c>
      <c r="AE47" s="115"/>
      <c r="AF47" s="115"/>
      <c r="AH47" s="99">
        <v>28</v>
      </c>
      <c r="AI47" s="113" t="s">
        <v>3907</v>
      </c>
      <c r="AJ47" s="113">
        <v>2800000</v>
      </c>
      <c r="AK47" s="99">
        <v>1</v>
      </c>
      <c r="AL47" s="99">
        <f t="shared" si="10"/>
        <v>569</v>
      </c>
      <c r="AM47" s="113">
        <f t="shared" si="11"/>
        <v>1593200000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68"/>
      <c r="N48" s="113"/>
      <c r="O48" s="114"/>
      <c r="P48" s="96"/>
      <c r="Q48" s="169">
        <v>41979</v>
      </c>
      <c r="R48" s="213" t="s">
        <v>5515</v>
      </c>
      <c r="S48" s="197">
        <f>S47-1</f>
        <v>-4</v>
      </c>
      <c r="T48" s="213" t="s">
        <v>5528</v>
      </c>
      <c r="U48" s="213">
        <v>1990</v>
      </c>
      <c r="V48" s="213">
        <f t="shared" si="6"/>
        <v>2014.1416986301369</v>
      </c>
      <c r="W48" s="32">
        <f t="shared" ref="W48:W55" si="20">V48*(1+$W$19/100)</f>
        <v>2054.4245326027399</v>
      </c>
      <c r="X48" s="32">
        <f t="shared" ref="X48:X55" si="21">V48*(1+$X$19/100)</f>
        <v>2094.7073665753423</v>
      </c>
      <c r="Y48" s="115" t="s">
        <v>25</v>
      </c>
      <c r="Z48" s="115"/>
      <c r="AA48" s="115"/>
      <c r="AB48" s="115" t="s">
        <v>25</v>
      </c>
      <c r="AC48" s="115"/>
      <c r="AD48" s="115"/>
      <c r="AE48" s="115"/>
      <c r="AF48" s="115"/>
      <c r="AH48" s="99">
        <v>29</v>
      </c>
      <c r="AI48" s="113" t="s">
        <v>3908</v>
      </c>
      <c r="AJ48" s="113">
        <v>-1500000</v>
      </c>
      <c r="AK48" s="99">
        <v>0</v>
      </c>
      <c r="AL48" s="99">
        <f t="shared" si="10"/>
        <v>568</v>
      </c>
      <c r="AM48" s="113">
        <f t="shared" si="11"/>
        <v>-852000000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168" t="s">
        <v>4443</v>
      </c>
      <c r="N49" s="113">
        <v>33</v>
      </c>
      <c r="O49" s="114"/>
      <c r="P49" t="s">
        <v>25</v>
      </c>
      <c r="Q49" s="169">
        <v>143462</v>
      </c>
      <c r="R49" s="213" t="s">
        <v>5515</v>
      </c>
      <c r="S49" s="197">
        <f>S48</f>
        <v>-4</v>
      </c>
      <c r="T49" s="213" t="s">
        <v>5538</v>
      </c>
      <c r="U49" s="213">
        <v>340</v>
      </c>
      <c r="V49" s="213">
        <f t="shared" si="6"/>
        <v>344.12471232876715</v>
      </c>
      <c r="W49" s="32">
        <f t="shared" si="20"/>
        <v>351.00720657534248</v>
      </c>
      <c r="X49" s="32">
        <f t="shared" si="21"/>
        <v>357.88970082191787</v>
      </c>
      <c r="Y49" s="122" t="s">
        <v>25</v>
      </c>
      <c r="AC49" t="s">
        <v>25</v>
      </c>
      <c r="AD49" t="s">
        <v>25</v>
      </c>
      <c r="AF49" s="115"/>
      <c r="AH49" s="99">
        <v>30</v>
      </c>
      <c r="AI49" s="113" t="s">
        <v>3908</v>
      </c>
      <c r="AJ49" s="113">
        <v>3050000</v>
      </c>
      <c r="AK49" s="99">
        <v>3</v>
      </c>
      <c r="AL49" s="99">
        <f>AL50+AK49</f>
        <v>568</v>
      </c>
      <c r="AM49" s="113">
        <f t="shared" si="11"/>
        <v>1732400000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261" t="s">
        <v>5103</v>
      </c>
      <c r="L50" s="117">
        <v>-19229100</v>
      </c>
      <c r="M50" s="168"/>
      <c r="N50" s="113"/>
      <c r="O50" s="99"/>
      <c r="P50" s="99"/>
      <c r="Q50" s="169">
        <v>588704</v>
      </c>
      <c r="R50" s="213" t="s">
        <v>5539</v>
      </c>
      <c r="S50" s="197">
        <f>S49-3</f>
        <v>-7</v>
      </c>
      <c r="T50" s="213" t="s">
        <v>5543</v>
      </c>
      <c r="U50" s="213">
        <v>438</v>
      </c>
      <c r="V50" s="213">
        <f t="shared" si="6"/>
        <v>442.30560000000003</v>
      </c>
      <c r="W50" s="32">
        <f t="shared" si="20"/>
        <v>451.15171200000003</v>
      </c>
      <c r="X50" s="32">
        <f t="shared" si="21"/>
        <v>459.99782400000004</v>
      </c>
      <c r="Y50" t="s">
        <v>25</v>
      </c>
      <c r="AA50" s="96"/>
      <c r="AH50" s="99">
        <v>31</v>
      </c>
      <c r="AI50" s="113" t="s">
        <v>3932</v>
      </c>
      <c r="AJ50" s="113">
        <v>-8299612</v>
      </c>
      <c r="AK50" s="99">
        <v>2</v>
      </c>
      <c r="AL50" s="99">
        <f t="shared" si="10"/>
        <v>565</v>
      </c>
      <c r="AM50" s="113">
        <f t="shared" si="11"/>
        <v>-4689280780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J51" s="114"/>
      <c r="K51" s="36"/>
      <c r="L51" s="117"/>
      <c r="M51" s="21" t="s">
        <v>5418</v>
      </c>
      <c r="N51" s="117">
        <f t="shared" ref="N51" si="22">O51*P51</f>
        <v>35295600</v>
      </c>
      <c r="O51" s="69">
        <v>67000</v>
      </c>
      <c r="P51" s="69">
        <f>P63</f>
        <v>526.79999999999995</v>
      </c>
      <c r="Q51" s="169">
        <v>470640</v>
      </c>
      <c r="R51" s="213" t="s">
        <v>5547</v>
      </c>
      <c r="S51" s="197">
        <f>S50-2</f>
        <v>-9</v>
      </c>
      <c r="T51" s="213" t="s">
        <v>5561</v>
      </c>
      <c r="U51" s="213">
        <v>500.5</v>
      </c>
      <c r="V51" s="213">
        <f t="shared" si="6"/>
        <v>504.65209315068495</v>
      </c>
      <c r="W51" s="32">
        <f t="shared" si="20"/>
        <v>514.7451350136987</v>
      </c>
      <c r="X51" s="32">
        <f t="shared" si="21"/>
        <v>524.8381768767124</v>
      </c>
      <c r="AA51" s="96"/>
      <c r="AH51" s="99">
        <v>32</v>
      </c>
      <c r="AI51" s="113" t="s">
        <v>3927</v>
      </c>
      <c r="AJ51" s="113">
        <v>5000000</v>
      </c>
      <c r="AK51" s="99">
        <v>14</v>
      </c>
      <c r="AL51" s="99">
        <f t="shared" si="10"/>
        <v>563</v>
      </c>
      <c r="AM51" s="113">
        <f t="shared" si="11"/>
        <v>2815000000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J52" t="s">
        <v>25</v>
      </c>
      <c r="K52" s="36"/>
      <c r="L52" s="117"/>
      <c r="M52" s="21" t="s">
        <v>5361</v>
      </c>
      <c r="N52" s="117">
        <f t="shared" ref="N52:N66" si="23">O52*P52</f>
        <v>0</v>
      </c>
      <c r="O52" s="69">
        <v>0</v>
      </c>
      <c r="P52" s="69">
        <v>78000</v>
      </c>
      <c r="Q52" s="169">
        <v>264935</v>
      </c>
      <c r="R52" s="213" t="s">
        <v>5551</v>
      </c>
      <c r="S52" s="197">
        <f>S51-2</f>
        <v>-11</v>
      </c>
      <c r="T52" s="213" t="s">
        <v>5555</v>
      </c>
      <c r="U52" s="213">
        <v>1312</v>
      </c>
      <c r="V52" s="213">
        <f t="shared" si="6"/>
        <v>1320.8712767123291</v>
      </c>
      <c r="W52" s="32">
        <f t="shared" si="20"/>
        <v>1347.2887022465757</v>
      </c>
      <c r="X52" s="32">
        <f t="shared" si="21"/>
        <v>1373.7061277808223</v>
      </c>
      <c r="Y52" t="s">
        <v>25</v>
      </c>
      <c r="AA52" s="96"/>
      <c r="AH52" s="99">
        <v>33</v>
      </c>
      <c r="AI52" s="113" t="s">
        <v>987</v>
      </c>
      <c r="AJ52" s="113">
        <v>-90000</v>
      </c>
      <c r="AK52" s="99">
        <v>1</v>
      </c>
      <c r="AL52" s="99">
        <f t="shared" si="10"/>
        <v>549</v>
      </c>
      <c r="AM52" s="113">
        <f t="shared" si="11"/>
        <v>-49410000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99" t="s">
        <v>5256</v>
      </c>
      <c r="L53" s="117">
        <f>-1200*P66</f>
        <v>-18480000</v>
      </c>
      <c r="M53" s="19" t="s">
        <v>4397</v>
      </c>
      <c r="N53" s="117">
        <f t="shared" si="23"/>
        <v>34248711.199999996</v>
      </c>
      <c r="O53" s="69">
        <v>22264</v>
      </c>
      <c r="P53" s="69">
        <v>1538.3</v>
      </c>
      <c r="Q53" s="169">
        <v>84983</v>
      </c>
      <c r="R53" s="213" t="s">
        <v>5551</v>
      </c>
      <c r="S53" s="197">
        <f>S52</f>
        <v>-11</v>
      </c>
      <c r="T53" s="213" t="s">
        <v>5556</v>
      </c>
      <c r="U53" s="213">
        <v>2350</v>
      </c>
      <c r="V53" s="213">
        <f t="shared" si="6"/>
        <v>2365.8898630136991</v>
      </c>
      <c r="W53" s="32">
        <f t="shared" si="20"/>
        <v>2413.207660273973</v>
      </c>
      <c r="X53" s="32">
        <f t="shared" si="21"/>
        <v>2460.5254575342474</v>
      </c>
      <c r="Y53" t="s">
        <v>25</v>
      </c>
      <c r="Z53" t="s">
        <v>25</v>
      </c>
      <c r="AH53" s="99">
        <v>34</v>
      </c>
      <c r="AI53" s="113" t="s">
        <v>4049</v>
      </c>
      <c r="AJ53" s="113">
        <v>5600000</v>
      </c>
      <c r="AK53" s="99">
        <v>4</v>
      </c>
      <c r="AL53" s="99">
        <f t="shared" si="10"/>
        <v>548</v>
      </c>
      <c r="AM53" s="113">
        <f t="shared" si="11"/>
        <v>3068800000</v>
      </c>
      <c r="AN53" s="99"/>
    </row>
    <row r="54" spans="1:45">
      <c r="A54" s="63">
        <v>1400</v>
      </c>
      <c r="B54" s="11">
        <v>52</v>
      </c>
      <c r="C54" s="49">
        <f t="shared" si="4"/>
        <v>5380547.1560366414</v>
      </c>
      <c r="D54" s="3">
        <f t="shared" si="5"/>
        <v>4370773.2377119577</v>
      </c>
      <c r="E54" s="3">
        <f t="shared" si="12"/>
        <v>542808580.73450804</v>
      </c>
      <c r="F54" s="3"/>
      <c r="G54" s="11"/>
      <c r="H54" s="11"/>
      <c r="J54" t="s">
        <v>25</v>
      </c>
      <c r="K54" s="36" t="s">
        <v>5488</v>
      </c>
      <c r="L54" s="117">
        <v>-700000</v>
      </c>
      <c r="M54" s="19" t="s">
        <v>5431</v>
      </c>
      <c r="N54" s="117">
        <f t="shared" si="23"/>
        <v>17426400</v>
      </c>
      <c r="O54" s="69">
        <v>39750</v>
      </c>
      <c r="P54" s="69">
        <v>438.4</v>
      </c>
      <c r="Q54" s="169">
        <v>122927</v>
      </c>
      <c r="R54" s="213" t="s">
        <v>5564</v>
      </c>
      <c r="S54" s="197">
        <f>S53-3</f>
        <v>-14</v>
      </c>
      <c r="T54" s="213" t="s">
        <v>5566</v>
      </c>
      <c r="U54" s="213">
        <v>460</v>
      </c>
      <c r="V54" s="213">
        <f t="shared" si="6"/>
        <v>462.05172602739725</v>
      </c>
      <c r="W54" s="32">
        <f t="shared" si="20"/>
        <v>471.29276054794519</v>
      </c>
      <c r="X54" s="32">
        <f t="shared" si="21"/>
        <v>480.53379506849313</v>
      </c>
      <c r="Y54" t="s">
        <v>25</v>
      </c>
      <c r="AH54" s="99">
        <v>35</v>
      </c>
      <c r="AI54" s="113" t="s">
        <v>3977</v>
      </c>
      <c r="AJ54" s="113">
        <v>750000</v>
      </c>
      <c r="AK54" s="99">
        <v>2</v>
      </c>
      <c r="AL54" s="99">
        <f t="shared" si="10"/>
        <v>544</v>
      </c>
      <c r="AM54" s="113">
        <f t="shared" si="11"/>
        <v>408000000</v>
      </c>
      <c r="AN54" s="99"/>
    </row>
    <row r="55" spans="1:45">
      <c r="A55" s="63">
        <v>1400</v>
      </c>
      <c r="B55" s="11">
        <v>53</v>
      </c>
      <c r="C55" s="49">
        <f t="shared" si="4"/>
        <v>5434352.6275970079</v>
      </c>
      <c r="D55" s="3">
        <f t="shared" si="5"/>
        <v>4414480.970089077</v>
      </c>
      <c r="E55" s="3">
        <f t="shared" si="12"/>
        <v>554684624.00670612</v>
      </c>
      <c r="F55" s="3"/>
      <c r="G55" s="11"/>
      <c r="H55" s="11"/>
      <c r="K55" s="36"/>
      <c r="L55" s="117"/>
      <c r="M55" s="19" t="s">
        <v>5553</v>
      </c>
      <c r="N55" s="117">
        <f t="shared" si="23"/>
        <v>263712</v>
      </c>
      <c r="O55" s="69">
        <v>201</v>
      </c>
      <c r="P55" s="69">
        <v>1312</v>
      </c>
      <c r="Q55" s="169" t="s">
        <v>25</v>
      </c>
      <c r="R55" s="168" t="s">
        <v>25</v>
      </c>
      <c r="S55" s="168"/>
      <c r="T55" s="168"/>
      <c r="U55" s="168"/>
      <c r="V55" s="213">
        <f t="shared" si="6"/>
        <v>0</v>
      </c>
      <c r="W55" s="32">
        <f t="shared" si="20"/>
        <v>0</v>
      </c>
      <c r="X55" s="32">
        <f t="shared" si="21"/>
        <v>0</v>
      </c>
      <c r="Y55" t="s">
        <v>25</v>
      </c>
      <c r="Z55" t="s">
        <v>25</v>
      </c>
      <c r="AH55" s="171">
        <v>36</v>
      </c>
      <c r="AI55" s="170" t="s">
        <v>3987</v>
      </c>
      <c r="AJ55" s="170">
        <v>-4242000</v>
      </c>
      <c r="AK55" s="171">
        <v>2</v>
      </c>
      <c r="AL55" s="171">
        <f t="shared" si="10"/>
        <v>542</v>
      </c>
      <c r="AM55" s="170">
        <f t="shared" si="11"/>
        <v>-2299164000</v>
      </c>
      <c r="AN55" s="171" t="s">
        <v>4058</v>
      </c>
    </row>
    <row r="56" spans="1:45">
      <c r="A56" s="63">
        <v>1400</v>
      </c>
      <c r="B56" s="11">
        <v>54</v>
      </c>
      <c r="C56" s="49">
        <f t="shared" si="4"/>
        <v>5488696.1538729779</v>
      </c>
      <c r="D56" s="3">
        <f t="shared" si="5"/>
        <v>4458625.7797899675</v>
      </c>
      <c r="E56" s="3">
        <f t="shared" si="12"/>
        <v>566808386.86092329</v>
      </c>
      <c r="F56" s="3"/>
      <c r="G56" s="11"/>
      <c r="H56" s="11"/>
      <c r="K56" s="36" t="s">
        <v>25</v>
      </c>
      <c r="L56" s="117" t="s">
        <v>25</v>
      </c>
      <c r="M56" s="19" t="s">
        <v>5554</v>
      </c>
      <c r="N56" s="117">
        <f t="shared" si="23"/>
        <v>84600</v>
      </c>
      <c r="O56" s="69">
        <v>36</v>
      </c>
      <c r="P56" s="69">
        <v>2350</v>
      </c>
      <c r="Q56" s="169">
        <f>SUM(N21:N28)-SUM(Q20:Q55)</f>
        <v>579392203.5999999</v>
      </c>
      <c r="R56" s="168"/>
      <c r="S56" s="168" t="s">
        <v>25</v>
      </c>
      <c r="T56" s="168"/>
      <c r="U56" s="168"/>
      <c r="V56" s="168"/>
      <c r="W56" s="32"/>
      <c r="X56" s="32"/>
      <c r="Y56" s="96" t="s">
        <v>25</v>
      </c>
      <c r="AH56" s="99">
        <v>37</v>
      </c>
      <c r="AI56" s="113" t="s">
        <v>3987</v>
      </c>
      <c r="AJ56" s="113">
        <v>4100000</v>
      </c>
      <c r="AK56" s="99">
        <v>0</v>
      </c>
      <c r="AL56" s="99">
        <f t="shared" si="10"/>
        <v>540</v>
      </c>
      <c r="AM56" s="113">
        <f t="shared" si="11"/>
        <v>2214000000</v>
      </c>
      <c r="AN56" s="99"/>
    </row>
    <row r="57" spans="1:45">
      <c r="A57" s="63">
        <v>1400</v>
      </c>
      <c r="B57" s="11">
        <v>55</v>
      </c>
      <c r="C57" s="50">
        <f t="shared" si="4"/>
        <v>5543583.1154117081</v>
      </c>
      <c r="D57" s="3">
        <f t="shared" si="5"/>
        <v>4503212.0375878671</v>
      </c>
      <c r="E57" s="3">
        <f t="shared" si="12"/>
        <v>579184925.67596567</v>
      </c>
      <c r="F57" s="3"/>
      <c r="G57" s="11"/>
      <c r="H57" s="11"/>
      <c r="K57" s="36"/>
      <c r="L57" s="117"/>
      <c r="M57" s="19" t="s">
        <v>5541</v>
      </c>
      <c r="N57" s="117">
        <f t="shared" si="23"/>
        <v>586044</v>
      </c>
      <c r="O57" s="69">
        <v>1338</v>
      </c>
      <c r="P57" s="69">
        <v>438</v>
      </c>
      <c r="R57" s="115" t="s">
        <v>25</v>
      </c>
      <c r="S57" s="115" t="s">
        <v>25</v>
      </c>
      <c r="T57" s="122" t="s">
        <v>25</v>
      </c>
      <c r="U57" s="115" t="s">
        <v>25</v>
      </c>
      <c r="V57" s="115" t="s">
        <v>25</v>
      </c>
      <c r="W57" s="194" t="s">
        <v>25</v>
      </c>
      <c r="X57" s="194"/>
      <c r="Y57" t="s">
        <v>25</v>
      </c>
      <c r="AH57" s="99">
        <v>38</v>
      </c>
      <c r="AI57" s="113" t="s">
        <v>3993</v>
      </c>
      <c r="AJ57" s="113">
        <v>4100000</v>
      </c>
      <c r="AK57" s="99">
        <v>1</v>
      </c>
      <c r="AL57" s="99">
        <f t="shared" si="10"/>
        <v>540</v>
      </c>
      <c r="AM57" s="113">
        <f t="shared" si="11"/>
        <v>2214000000</v>
      </c>
      <c r="AN57" s="99"/>
    </row>
    <row r="58" spans="1:45">
      <c r="A58" s="63">
        <v>1400</v>
      </c>
      <c r="B58" s="11">
        <v>56</v>
      </c>
      <c r="C58" s="50">
        <f t="shared" si="4"/>
        <v>5599018.9465658255</v>
      </c>
      <c r="D58" s="3">
        <f t="shared" si="5"/>
        <v>4548244.1579637462</v>
      </c>
      <c r="E58" s="3">
        <f t="shared" si="12"/>
        <v>591819398.97808707</v>
      </c>
      <c r="F58" s="3"/>
      <c r="G58" s="11"/>
      <c r="H58" s="11"/>
      <c r="J58" s="114"/>
      <c r="K58" s="36"/>
      <c r="L58" s="117"/>
      <c r="M58" s="19" t="s">
        <v>5529</v>
      </c>
      <c r="N58" s="117">
        <f t="shared" si="23"/>
        <v>19381600</v>
      </c>
      <c r="O58" s="69">
        <v>14000</v>
      </c>
      <c r="P58" s="69">
        <v>1384.4</v>
      </c>
      <c r="Q58" s="96"/>
      <c r="R58" s="115" t="s">
        <v>25</v>
      </c>
      <c r="S58" s="115"/>
      <c r="T58" s="115" t="s">
        <v>25</v>
      </c>
      <c r="U58" s="115" t="s">
        <v>25</v>
      </c>
      <c r="V58" s="122" t="s">
        <v>25</v>
      </c>
      <c r="W58" s="194"/>
      <c r="X58" s="194" t="s">
        <v>25</v>
      </c>
      <c r="Y58" t="s">
        <v>25</v>
      </c>
      <c r="AA58" t="s">
        <v>25</v>
      </c>
      <c r="AH58" s="99">
        <v>39</v>
      </c>
      <c r="AI58" s="113" t="s">
        <v>4002</v>
      </c>
      <c r="AJ58" s="113">
        <v>790000</v>
      </c>
      <c r="AK58" s="99">
        <v>15</v>
      </c>
      <c r="AL58" s="99">
        <f t="shared" si="10"/>
        <v>539</v>
      </c>
      <c r="AM58" s="113">
        <f t="shared" si="11"/>
        <v>425810000</v>
      </c>
      <c r="AN58" s="99"/>
    </row>
    <row r="59" spans="1:45">
      <c r="A59" s="63">
        <v>1400</v>
      </c>
      <c r="B59" s="11">
        <v>57</v>
      </c>
      <c r="C59" s="50">
        <f t="shared" si="4"/>
        <v>5655009.1360314842</v>
      </c>
      <c r="D59" s="3">
        <f t="shared" si="5"/>
        <v>4593726.5995433833</v>
      </c>
      <c r="E59" s="3">
        <f t="shared" si="12"/>
        <v>604717069.49413705</v>
      </c>
      <c r="F59" s="3"/>
      <c r="G59" s="11"/>
      <c r="H59" s="11"/>
      <c r="K59" s="36" t="s">
        <v>5537</v>
      </c>
      <c r="L59" s="117">
        <v>-290000</v>
      </c>
      <c r="M59" s="19" t="s">
        <v>5526</v>
      </c>
      <c r="N59" s="117">
        <f t="shared" si="23"/>
        <v>43879.5</v>
      </c>
      <c r="O59" s="69">
        <v>21</v>
      </c>
      <c r="P59" s="69">
        <v>2089.5</v>
      </c>
      <c r="Q59" s="168" t="s">
        <v>655</v>
      </c>
      <c r="R59" s="168"/>
      <c r="S59" s="168"/>
      <c r="T59" s="168"/>
      <c r="U59" s="168"/>
      <c r="V59" s="168"/>
      <c r="W59" s="32"/>
      <c r="X59" s="32"/>
      <c r="Y59" t="s">
        <v>25</v>
      </c>
      <c r="Z59" s="96">
        <v>4661</v>
      </c>
      <c r="AA59" s="96"/>
      <c r="AB59" s="96"/>
      <c r="AC59" s="96"/>
      <c r="AH59" s="171">
        <v>40</v>
      </c>
      <c r="AI59" s="170" t="s">
        <v>4033</v>
      </c>
      <c r="AJ59" s="170">
        <v>-3865000</v>
      </c>
      <c r="AK59" s="171">
        <v>6</v>
      </c>
      <c r="AL59" s="171">
        <f t="shared" si="10"/>
        <v>524</v>
      </c>
      <c r="AM59" s="172">
        <f t="shared" si="11"/>
        <v>-2025260000</v>
      </c>
      <c r="AN59" s="171" t="s">
        <v>4059</v>
      </c>
    </row>
    <row r="60" spans="1:45" ht="30">
      <c r="A60" s="63">
        <v>1400</v>
      </c>
      <c r="B60" s="11">
        <v>58</v>
      </c>
      <c r="C60" s="3">
        <f t="shared" si="4"/>
        <v>5711559.227391799</v>
      </c>
      <c r="D60" s="3">
        <f t="shared" si="5"/>
        <v>4639663.8655388169</v>
      </c>
      <c r="E60" s="3">
        <f t="shared" si="12"/>
        <v>617883306.24587286</v>
      </c>
      <c r="F60" s="3"/>
      <c r="G60" s="11"/>
      <c r="H60" s="11"/>
      <c r="K60" s="36"/>
      <c r="L60" s="117"/>
      <c r="M60" s="19" t="s">
        <v>5527</v>
      </c>
      <c r="N60" s="117">
        <f t="shared" si="23"/>
        <v>149940</v>
      </c>
      <c r="O60" s="69">
        <v>420</v>
      </c>
      <c r="P60" s="69">
        <v>357</v>
      </c>
      <c r="Q60" s="168" t="s">
        <v>267</v>
      </c>
      <c r="R60" s="168" t="s">
        <v>180</v>
      </c>
      <c r="S60" s="168" t="s">
        <v>183</v>
      </c>
      <c r="T60" s="168" t="s">
        <v>8</v>
      </c>
      <c r="U60" s="168" t="s">
        <v>4352</v>
      </c>
      <c r="V60" s="73" t="s">
        <v>4354</v>
      </c>
      <c r="W60" s="32">
        <v>2</v>
      </c>
      <c r="X60" s="32">
        <v>4</v>
      </c>
      <c r="Y60" t="s">
        <v>25</v>
      </c>
      <c r="Z60" s="96">
        <v>10000</v>
      </c>
      <c r="AA60" s="96"/>
      <c r="AB60" s="96"/>
      <c r="AC60" s="96"/>
      <c r="AH60" s="20">
        <v>41</v>
      </c>
      <c r="AI60" s="117" t="s">
        <v>4063</v>
      </c>
      <c r="AJ60" s="117">
        <v>18800000</v>
      </c>
      <c r="AK60" s="20">
        <v>3</v>
      </c>
      <c r="AL60" s="99">
        <f t="shared" si="10"/>
        <v>518</v>
      </c>
      <c r="AM60" s="113">
        <f t="shared" si="11"/>
        <v>9738400000</v>
      </c>
      <c r="AN60" s="20"/>
    </row>
    <row r="61" spans="1:45">
      <c r="A61" s="63">
        <v>1400</v>
      </c>
      <c r="B61" s="11">
        <v>59</v>
      </c>
      <c r="C61" s="3">
        <f t="shared" si="4"/>
        <v>5768674.819665717</v>
      </c>
      <c r="D61" s="3">
        <f t="shared" si="5"/>
        <v>4686060.5041942047</v>
      </c>
      <c r="E61" s="3">
        <f t="shared" si="12"/>
        <v>631323586.68626177</v>
      </c>
      <c r="F61" s="3"/>
      <c r="G61" s="11"/>
      <c r="H61" s="11"/>
      <c r="K61" s="36"/>
      <c r="L61" s="117"/>
      <c r="M61" s="19" t="s">
        <v>5443</v>
      </c>
      <c r="N61" s="117">
        <f t="shared" si="23"/>
        <v>193261.5</v>
      </c>
      <c r="O61" s="69">
        <v>67</v>
      </c>
      <c r="P61" s="69">
        <v>2884.5</v>
      </c>
      <c r="Q61" s="168">
        <v>0</v>
      </c>
      <c r="R61" s="168" t="s">
        <v>4166</v>
      </c>
      <c r="S61" s="168">
        <f>S94</f>
        <v>525</v>
      </c>
      <c r="T61" s="168"/>
      <c r="U61" s="168"/>
      <c r="V61" s="73"/>
      <c r="W61" s="32"/>
      <c r="X61" s="32"/>
      <c r="Y61" t="s">
        <v>25</v>
      </c>
      <c r="Z61" s="96">
        <v>604</v>
      </c>
      <c r="AA61" s="96"/>
      <c r="AB61" s="96"/>
      <c r="AC61" s="96"/>
      <c r="AH61" s="20">
        <v>42</v>
      </c>
      <c r="AI61" s="117" t="s">
        <v>4080</v>
      </c>
      <c r="AJ61" s="117">
        <v>500000</v>
      </c>
      <c r="AK61" s="20">
        <v>1</v>
      </c>
      <c r="AL61" s="99">
        <f t="shared" si="10"/>
        <v>515</v>
      </c>
      <c r="AM61" s="113">
        <f t="shared" si="11"/>
        <v>257500000</v>
      </c>
      <c r="AN61" s="20"/>
    </row>
    <row r="62" spans="1:45">
      <c r="A62" s="63">
        <v>1400</v>
      </c>
      <c r="B62" s="11">
        <v>60</v>
      </c>
      <c r="C62" s="3">
        <f t="shared" si="4"/>
        <v>5826361.5678623738</v>
      </c>
      <c r="D62" s="3">
        <f t="shared" si="5"/>
        <v>4732921.1092361463</v>
      </c>
      <c r="E62" s="46">
        <f t="shared" si="12"/>
        <v>645043498.87861323</v>
      </c>
      <c r="F62" s="3"/>
      <c r="G62" s="11"/>
      <c r="H62" s="11"/>
      <c r="J62" s="114"/>
      <c r="K62" s="99"/>
      <c r="L62" s="117"/>
      <c r="M62" s="19" t="s">
        <v>4383</v>
      </c>
      <c r="N62" s="117">
        <f t="shared" si="23"/>
        <v>116961326.69999999</v>
      </c>
      <c r="O62" s="69">
        <v>13479</v>
      </c>
      <c r="P62" s="69">
        <v>8677.2999999999993</v>
      </c>
      <c r="Q62" s="169">
        <v>863944</v>
      </c>
      <c r="R62" s="168" t="s">
        <v>4422</v>
      </c>
      <c r="S62" s="168">
        <f>S61-62</f>
        <v>463</v>
      </c>
      <c r="T62" s="190" t="s">
        <v>4493</v>
      </c>
      <c r="U62" s="168">
        <v>184.6</v>
      </c>
      <c r="V62" s="168">
        <f t="shared" ref="V62:V82" si="24">U62*(1+$R$90+$Q$15*S62/36500)</f>
        <v>252.97179397260277</v>
      </c>
      <c r="W62" s="32">
        <f t="shared" ref="W62:W72" si="25">V62*(1+$W$19/100)</f>
        <v>258.03122985205482</v>
      </c>
      <c r="X62" s="32">
        <f t="shared" ref="X62:X72" si="26">V62*(1+$X$19/100)</f>
        <v>263.09066573150687</v>
      </c>
      <c r="Y62" t="s">
        <v>25</v>
      </c>
      <c r="Z62" s="96">
        <v>1094</v>
      </c>
      <c r="AA62" s="96"/>
      <c r="AB62" s="96"/>
      <c r="AC62" s="96"/>
      <c r="AH62" s="20">
        <v>43</v>
      </c>
      <c r="AI62" s="117" t="s">
        <v>4084</v>
      </c>
      <c r="AJ62" s="117">
        <v>200000</v>
      </c>
      <c r="AK62" s="20">
        <v>3</v>
      </c>
      <c r="AL62" s="99">
        <f>AL63+AK62</f>
        <v>514</v>
      </c>
      <c r="AM62" s="113">
        <f t="shared" si="11"/>
        <v>102800000</v>
      </c>
      <c r="AN62" s="20"/>
    </row>
    <row r="63" spans="1:45">
      <c r="E63" s="26"/>
      <c r="K63" s="99"/>
      <c r="L63" s="117"/>
      <c r="M63" s="19" t="s">
        <v>4173</v>
      </c>
      <c r="N63" s="113">
        <f>O63*P63</f>
        <v>1696147969.1999998</v>
      </c>
      <c r="O63" s="99">
        <v>3219719</v>
      </c>
      <c r="P63" s="99">
        <v>526.79999999999995</v>
      </c>
      <c r="Q63" s="169">
        <v>1692313</v>
      </c>
      <c r="R63" s="168" t="s">
        <v>4496</v>
      </c>
      <c r="S63" s="197">
        <f>S62-21</f>
        <v>442</v>
      </c>
      <c r="T63" s="189" t="s">
        <v>4497</v>
      </c>
      <c r="U63" s="168">
        <v>168.5</v>
      </c>
      <c r="V63" s="168">
        <f t="shared" si="24"/>
        <v>228.19424109589042</v>
      </c>
      <c r="W63" s="32">
        <f t="shared" si="25"/>
        <v>232.75812591780823</v>
      </c>
      <c r="X63" s="32">
        <f t="shared" si="26"/>
        <v>237.32201073972604</v>
      </c>
      <c r="Y63" t="s">
        <v>25</v>
      </c>
      <c r="Z63" s="96">
        <v>976</v>
      </c>
      <c r="AA63" s="96"/>
      <c r="AB63" s="96"/>
      <c r="AC63" s="96"/>
      <c r="AH63" s="20">
        <v>44</v>
      </c>
      <c r="AI63" s="117" t="s">
        <v>4091</v>
      </c>
      <c r="AJ63" s="117">
        <v>1000000</v>
      </c>
      <c r="AK63" s="20">
        <v>3</v>
      </c>
      <c r="AL63" s="99">
        <f t="shared" si="10"/>
        <v>511</v>
      </c>
      <c r="AM63" s="113">
        <f t="shared" si="11"/>
        <v>511000000</v>
      </c>
      <c r="AN63" s="20"/>
    </row>
    <row r="64" spans="1:45">
      <c r="E64" s="26"/>
      <c r="K64" s="261"/>
      <c r="L64" s="117"/>
      <c r="M64" s="19" t="s">
        <v>5170</v>
      </c>
      <c r="N64" s="113">
        <f t="shared" si="23"/>
        <v>0</v>
      </c>
      <c r="O64" s="99">
        <v>0</v>
      </c>
      <c r="P64" s="99">
        <v>5200</v>
      </c>
      <c r="Q64" s="169">
        <v>101153</v>
      </c>
      <c r="R64" s="168" t="s">
        <v>4499</v>
      </c>
      <c r="S64" s="197">
        <f>S63-1</f>
        <v>441</v>
      </c>
      <c r="T64" s="189" t="s">
        <v>4501</v>
      </c>
      <c r="U64" s="168">
        <v>166.7</v>
      </c>
      <c r="V64" s="168">
        <f t="shared" si="24"/>
        <v>225.62867835616439</v>
      </c>
      <c r="W64" s="32">
        <f t="shared" si="25"/>
        <v>230.14125192328768</v>
      </c>
      <c r="X64" s="32">
        <f t="shared" si="26"/>
        <v>234.65382549041098</v>
      </c>
      <c r="Y64" t="s">
        <v>25</v>
      </c>
      <c r="Z64" s="96">
        <v>108344</v>
      </c>
      <c r="AA64" s="96" t="s">
        <v>25</v>
      </c>
      <c r="AB64" s="96"/>
      <c r="AC64" s="96"/>
      <c r="AH64" s="20">
        <v>45</v>
      </c>
      <c r="AI64" s="117" t="s">
        <v>4103</v>
      </c>
      <c r="AJ64" s="117">
        <v>1300000</v>
      </c>
      <c r="AK64" s="20">
        <v>0</v>
      </c>
      <c r="AL64" s="99">
        <f>AL65+AK64</f>
        <v>508</v>
      </c>
      <c r="AM64" s="113">
        <f t="shared" si="11"/>
        <v>660400000</v>
      </c>
      <c r="AN64" s="20"/>
    </row>
    <row r="65" spans="1:40">
      <c r="K65" s="261"/>
      <c r="L65" s="117"/>
      <c r="M65" s="21" t="s">
        <v>1082</v>
      </c>
      <c r="N65" s="117">
        <f t="shared" si="23"/>
        <v>0</v>
      </c>
      <c r="O65" s="69">
        <v>0</v>
      </c>
      <c r="P65" s="69">
        <v>611500</v>
      </c>
      <c r="Q65" s="169">
        <v>183105</v>
      </c>
      <c r="R65" s="168" t="s">
        <v>4221</v>
      </c>
      <c r="S65" s="197">
        <f>S64-1</f>
        <v>440</v>
      </c>
      <c r="T65" s="189" t="s">
        <v>4505</v>
      </c>
      <c r="U65" s="168">
        <v>166.6</v>
      </c>
      <c r="V65" s="168">
        <f t="shared" si="24"/>
        <v>225.36552547945209</v>
      </c>
      <c r="W65" s="32">
        <f t="shared" si="25"/>
        <v>229.87283598904114</v>
      </c>
      <c r="X65" s="32">
        <f t="shared" si="26"/>
        <v>234.38014649863018</v>
      </c>
      <c r="Y65" t="s">
        <v>25</v>
      </c>
      <c r="Z65" s="96">
        <v>5468</v>
      </c>
      <c r="AA65" s="96"/>
      <c r="AB65" s="96"/>
      <c r="AC65" s="96"/>
      <c r="AH65" s="20">
        <v>45</v>
      </c>
      <c r="AI65" s="117" t="s">
        <v>4103</v>
      </c>
      <c r="AJ65" s="117">
        <v>995000</v>
      </c>
      <c r="AK65" s="20">
        <v>2</v>
      </c>
      <c r="AL65" s="99">
        <f t="shared" ref="AL65:AL92" si="27">AL66+AK65</f>
        <v>508</v>
      </c>
      <c r="AM65" s="113">
        <f t="shared" si="11"/>
        <v>505460000</v>
      </c>
      <c r="AN65" s="20"/>
    </row>
    <row r="66" spans="1:40">
      <c r="K66" s="99" t="s">
        <v>5413</v>
      </c>
      <c r="L66" s="117">
        <f>67000*P63</f>
        <v>35295600</v>
      </c>
      <c r="M66" s="73" t="s">
        <v>5169</v>
      </c>
      <c r="N66" s="117">
        <f t="shared" si="23"/>
        <v>0</v>
      </c>
      <c r="O66" s="69">
        <v>0</v>
      </c>
      <c r="P66" s="69">
        <v>15400</v>
      </c>
      <c r="Q66" s="169">
        <v>168846</v>
      </c>
      <c r="R66" s="168" t="s">
        <v>3687</v>
      </c>
      <c r="S66" s="197">
        <f>S65-30</f>
        <v>410</v>
      </c>
      <c r="T66" s="189" t="s">
        <v>4601</v>
      </c>
      <c r="U66" s="168">
        <v>172.2</v>
      </c>
      <c r="V66" s="168">
        <f t="shared" si="24"/>
        <v>228.97787835616441</v>
      </c>
      <c r="W66" s="32">
        <f t="shared" si="25"/>
        <v>233.5574359232877</v>
      </c>
      <c r="X66" s="32">
        <f t="shared" si="26"/>
        <v>238.13699349041099</v>
      </c>
      <c r="Y66" t="s">
        <v>25</v>
      </c>
      <c r="Z66" s="96">
        <v>31131</v>
      </c>
      <c r="AA66" s="96"/>
      <c r="AB66" s="96"/>
      <c r="AC66" s="96"/>
      <c r="AH66" s="20">
        <v>46</v>
      </c>
      <c r="AI66" s="117" t="s">
        <v>4113</v>
      </c>
      <c r="AJ66" s="117">
        <v>13000000</v>
      </c>
      <c r="AK66" s="20">
        <v>2</v>
      </c>
      <c r="AL66" s="99">
        <f t="shared" si="27"/>
        <v>506</v>
      </c>
      <c r="AM66" s="113">
        <f t="shared" si="11"/>
        <v>6578000000</v>
      </c>
      <c r="AN66" s="20"/>
    </row>
    <row r="67" spans="1:40">
      <c r="A67" t="s">
        <v>25</v>
      </c>
      <c r="F67" t="s">
        <v>310</v>
      </c>
      <c r="G67" t="s">
        <v>4095</v>
      </c>
      <c r="K67" s="99"/>
      <c r="L67" s="117"/>
      <c r="M67" s="168" t="s">
        <v>1148</v>
      </c>
      <c r="N67" s="117">
        <v>14908</v>
      </c>
      <c r="O67" s="96"/>
      <c r="P67" t="s">
        <v>25</v>
      </c>
      <c r="Q67" s="169">
        <v>19918023</v>
      </c>
      <c r="R67" s="5" t="s">
        <v>4839</v>
      </c>
      <c r="S67" s="197">
        <f>S66-75</f>
        <v>335</v>
      </c>
      <c r="T67" s="189" t="s">
        <v>4841</v>
      </c>
      <c r="U67" s="213">
        <v>183</v>
      </c>
      <c r="V67" s="213">
        <f t="shared" si="24"/>
        <v>232.81009315068493</v>
      </c>
      <c r="W67" s="32">
        <f t="shared" si="25"/>
        <v>237.46629501369864</v>
      </c>
      <c r="X67" s="32">
        <f t="shared" si="26"/>
        <v>242.12249687671235</v>
      </c>
      <c r="Y67" t="s">
        <v>25</v>
      </c>
      <c r="Z67" s="96">
        <v>521</v>
      </c>
      <c r="AA67" s="96"/>
      <c r="AB67" s="96"/>
      <c r="AC67" s="96"/>
      <c r="AH67" s="20">
        <v>47</v>
      </c>
      <c r="AI67" s="117" t="s">
        <v>4126</v>
      </c>
      <c r="AJ67" s="117">
        <v>-3100000</v>
      </c>
      <c r="AK67" s="20">
        <v>3</v>
      </c>
      <c r="AL67" s="99">
        <f t="shared" si="27"/>
        <v>504</v>
      </c>
      <c r="AM67" s="113">
        <f t="shared" si="11"/>
        <v>-1562400000</v>
      </c>
      <c r="AN67" s="20"/>
    </row>
    <row r="68" spans="1:40">
      <c r="F68" t="s">
        <v>4099</v>
      </c>
      <c r="G68" t="s">
        <v>4094</v>
      </c>
      <c r="K68" s="99"/>
      <c r="L68" s="117"/>
      <c r="M68" s="168" t="s">
        <v>1149</v>
      </c>
      <c r="N68" s="117">
        <v>5282</v>
      </c>
      <c r="O68" s="96"/>
      <c r="P68" t="s">
        <v>25</v>
      </c>
      <c r="Q68" s="169">
        <v>1200301</v>
      </c>
      <c r="R68" s="19" t="s">
        <v>4925</v>
      </c>
      <c r="S68" s="197">
        <f>S67-34</f>
        <v>301</v>
      </c>
      <c r="T68" s="189" t="s">
        <v>4927</v>
      </c>
      <c r="U68" s="213">
        <v>218.5</v>
      </c>
      <c r="V68" s="213">
        <f t="shared" si="24"/>
        <v>272.27374794520551</v>
      </c>
      <c r="W68" s="32">
        <f t="shared" si="25"/>
        <v>277.71922290410964</v>
      </c>
      <c r="X68" s="32">
        <f t="shared" si="26"/>
        <v>283.16469786301377</v>
      </c>
      <c r="Y68" t="s">
        <v>25</v>
      </c>
      <c r="Z68" s="96">
        <v>595</v>
      </c>
      <c r="AA68" s="96" t="s">
        <v>25</v>
      </c>
      <c r="AB68" s="96"/>
      <c r="AC68" s="96"/>
      <c r="AH68" s="20">
        <v>48</v>
      </c>
      <c r="AI68" s="117" t="s">
        <v>4141</v>
      </c>
      <c r="AJ68" s="117">
        <v>45640000</v>
      </c>
      <c r="AK68" s="20">
        <v>1</v>
      </c>
      <c r="AL68" s="99">
        <f t="shared" si="27"/>
        <v>501</v>
      </c>
      <c r="AM68" s="113">
        <f t="shared" si="11"/>
        <v>22865640000</v>
      </c>
      <c r="AN68" s="20"/>
    </row>
    <row r="69" spans="1:40">
      <c r="F69" t="s">
        <v>4100</v>
      </c>
      <c r="G69" t="s">
        <v>4096</v>
      </c>
      <c r="K69" s="59"/>
      <c r="L69" s="117"/>
      <c r="M69" s="168"/>
      <c r="N69" s="113"/>
      <c r="O69" s="115"/>
      <c r="P69" s="115"/>
      <c r="Q69" s="169">
        <v>6135206</v>
      </c>
      <c r="R69" s="19" t="s">
        <v>4954</v>
      </c>
      <c r="S69" s="197">
        <f>S68-16</f>
        <v>285</v>
      </c>
      <c r="T69" s="189" t="s">
        <v>4955</v>
      </c>
      <c r="U69" s="213">
        <v>196.2</v>
      </c>
      <c r="V69" s="213">
        <f t="shared" si="24"/>
        <v>242.07747287671231</v>
      </c>
      <c r="W69" s="32">
        <f t="shared" si="25"/>
        <v>246.91902233424656</v>
      </c>
      <c r="X69" s="32">
        <f t="shared" si="26"/>
        <v>251.76057179178082</v>
      </c>
      <c r="Y69" s="122" t="s">
        <v>25</v>
      </c>
      <c r="Z69" s="96">
        <v>108667</v>
      </c>
      <c r="AA69" s="96"/>
      <c r="AB69" s="96"/>
      <c r="AC69" s="96"/>
      <c r="AH69" s="20">
        <v>49</v>
      </c>
      <c r="AI69" s="117" t="s">
        <v>4146</v>
      </c>
      <c r="AJ69" s="117">
        <v>33500000</v>
      </c>
      <c r="AK69" s="20">
        <v>1</v>
      </c>
      <c r="AL69" s="99">
        <f t="shared" si="27"/>
        <v>500</v>
      </c>
      <c r="AM69" s="113">
        <f t="shared" si="11"/>
        <v>16750000000</v>
      </c>
      <c r="AN69" s="20"/>
    </row>
    <row r="70" spans="1:40">
      <c r="G70" t="s">
        <v>4097</v>
      </c>
      <c r="K70" s="99"/>
      <c r="L70" s="117"/>
      <c r="M70" s="168"/>
      <c r="N70" s="113"/>
      <c r="O70" s="99"/>
      <c r="P70" s="99"/>
      <c r="Q70" s="169">
        <v>104578</v>
      </c>
      <c r="R70" s="19" t="s">
        <v>4976</v>
      </c>
      <c r="S70" s="197">
        <f>S69-9</f>
        <v>276</v>
      </c>
      <c r="T70" s="189" t="s">
        <v>4977</v>
      </c>
      <c r="U70" s="213">
        <v>199.8</v>
      </c>
      <c r="V70" s="213">
        <f t="shared" si="24"/>
        <v>245.13982027397265</v>
      </c>
      <c r="W70" s="32">
        <f t="shared" si="25"/>
        <v>250.0426166794521</v>
      </c>
      <c r="X70" s="32">
        <f t="shared" si="26"/>
        <v>254.94541308493157</v>
      </c>
      <c r="Y70" s="122" t="s">
        <v>25</v>
      </c>
      <c r="Z70" t="s">
        <v>25</v>
      </c>
      <c r="AH70" s="20">
        <v>50</v>
      </c>
      <c r="AI70" s="117" t="s">
        <v>4151</v>
      </c>
      <c r="AJ70" s="117">
        <v>12000000</v>
      </c>
      <c r="AK70" s="20">
        <v>1</v>
      </c>
      <c r="AL70" s="99">
        <f t="shared" si="27"/>
        <v>499</v>
      </c>
      <c r="AM70" s="117">
        <f t="shared" si="11"/>
        <v>5988000000</v>
      </c>
      <c r="AN70" s="20"/>
    </row>
    <row r="71" spans="1:40">
      <c r="G71" t="s">
        <v>4098</v>
      </c>
      <c r="K71" s="168"/>
      <c r="L71" s="117"/>
      <c r="M71" s="168"/>
      <c r="N71" s="113"/>
      <c r="Q71" s="169">
        <v>119253</v>
      </c>
      <c r="R71" s="19" t="s">
        <v>4981</v>
      </c>
      <c r="S71" s="197">
        <f>S70-3</f>
        <v>273</v>
      </c>
      <c r="T71" s="189" t="s">
        <v>4982</v>
      </c>
      <c r="U71" s="213">
        <v>199.5</v>
      </c>
      <c r="V71" s="213">
        <f t="shared" si="24"/>
        <v>244.31261917808223</v>
      </c>
      <c r="W71" s="32">
        <f t="shared" si="25"/>
        <v>249.19887156164387</v>
      </c>
      <c r="X71" s="32">
        <f t="shared" si="26"/>
        <v>254.08512394520554</v>
      </c>
      <c r="Y71" s="122" t="s">
        <v>25</v>
      </c>
      <c r="AH71" s="20">
        <v>51</v>
      </c>
      <c r="AI71" s="117" t="s">
        <v>4156</v>
      </c>
      <c r="AJ71" s="117">
        <v>15500000</v>
      </c>
      <c r="AK71" s="20">
        <v>4</v>
      </c>
      <c r="AL71" s="99">
        <f t="shared" si="27"/>
        <v>498</v>
      </c>
      <c r="AM71" s="117">
        <f t="shared" si="11"/>
        <v>7719000000</v>
      </c>
      <c r="AN71" s="20"/>
    </row>
    <row r="72" spans="1:40">
      <c r="G72" t="s">
        <v>4102</v>
      </c>
      <c r="K72" s="168"/>
      <c r="L72" s="117"/>
      <c r="M72" s="168"/>
      <c r="N72" s="113"/>
      <c r="P72" t="s">
        <v>25</v>
      </c>
      <c r="Q72" s="169">
        <v>2227488</v>
      </c>
      <c r="R72" s="19" t="s">
        <v>5000</v>
      </c>
      <c r="S72" s="197">
        <f>S71-9</f>
        <v>264</v>
      </c>
      <c r="T72" s="189" t="s">
        <v>5513</v>
      </c>
      <c r="U72" s="213">
        <v>200</v>
      </c>
      <c r="V72" s="213">
        <f t="shared" si="24"/>
        <v>243.54410958904111</v>
      </c>
      <c r="W72" s="32">
        <f t="shared" si="25"/>
        <v>248.41499178082194</v>
      </c>
      <c r="X72" s="32">
        <f t="shared" si="26"/>
        <v>253.28587397260276</v>
      </c>
      <c r="Y72" s="122" t="s">
        <v>25</v>
      </c>
      <c r="AH72" s="20">
        <v>52</v>
      </c>
      <c r="AI72" s="117" t="s">
        <v>4160</v>
      </c>
      <c r="AJ72" s="117">
        <v>150000</v>
      </c>
      <c r="AK72" s="20">
        <v>1</v>
      </c>
      <c r="AL72" s="99">
        <f t="shared" si="27"/>
        <v>494</v>
      </c>
      <c r="AM72" s="117">
        <f t="shared" si="11"/>
        <v>74100000</v>
      </c>
      <c r="AN72" s="20"/>
    </row>
    <row r="73" spans="1:40">
      <c r="G73" t="s">
        <v>4101</v>
      </c>
      <c r="K73" s="168"/>
      <c r="L73" s="117"/>
      <c r="M73" s="168" t="s">
        <v>4430</v>
      </c>
      <c r="N73" s="113">
        <f>-S173</f>
        <v>-42273995.496330611</v>
      </c>
      <c r="P73" t="s">
        <v>25</v>
      </c>
      <c r="Q73" s="169">
        <v>114428</v>
      </c>
      <c r="R73" s="19" t="s">
        <v>5442</v>
      </c>
      <c r="S73" s="197">
        <f>S72-254</f>
        <v>10</v>
      </c>
      <c r="T73" s="189" t="s">
        <v>5468</v>
      </c>
      <c r="U73" s="213">
        <v>1700</v>
      </c>
      <c r="V73" s="213">
        <f t="shared" si="24"/>
        <v>1738.8810958904112</v>
      </c>
      <c r="W73" s="32">
        <f t="shared" ref="W73:W85" si="28">V73*(1+$W$19/100)</f>
        <v>1773.6587178082195</v>
      </c>
      <c r="X73" s="32">
        <f t="shared" ref="X73:X85" si="29">V73*(1+$X$19/100)</f>
        <v>1808.4363397260277</v>
      </c>
      <c r="Y73" t="s">
        <v>25</v>
      </c>
      <c r="Z73" s="115"/>
      <c r="AH73" s="179">
        <v>53</v>
      </c>
      <c r="AI73" s="180" t="s">
        <v>4166</v>
      </c>
      <c r="AJ73" s="180">
        <v>29000000</v>
      </c>
      <c r="AK73" s="179">
        <v>15</v>
      </c>
      <c r="AL73" s="179">
        <f t="shared" si="27"/>
        <v>493</v>
      </c>
      <c r="AM73" s="180">
        <f t="shared" si="11"/>
        <v>14297000000</v>
      </c>
      <c r="AN73" s="179" t="s">
        <v>4176</v>
      </c>
    </row>
    <row r="74" spans="1:40">
      <c r="K74" s="168"/>
      <c r="L74" s="117"/>
      <c r="M74" s="168"/>
      <c r="N74" s="113"/>
      <c r="Q74" s="169">
        <v>6990657</v>
      </c>
      <c r="R74" s="19" t="s">
        <v>5504</v>
      </c>
      <c r="S74" s="197">
        <f>S73-11</f>
        <v>-1</v>
      </c>
      <c r="T74" s="189" t="s">
        <v>5512</v>
      </c>
      <c r="U74" s="213">
        <v>7792.9</v>
      </c>
      <c r="V74" s="213">
        <f t="shared" si="24"/>
        <v>7905.3739649315075</v>
      </c>
      <c r="W74" s="32">
        <f t="shared" si="28"/>
        <v>8063.4814442301376</v>
      </c>
      <c r="X74" s="32">
        <f t="shared" si="29"/>
        <v>8221.5889235287686</v>
      </c>
      <c r="Z74" s="122"/>
      <c r="AH74" s="20">
        <v>54</v>
      </c>
      <c r="AI74" s="117" t="s">
        <v>4200</v>
      </c>
      <c r="AJ74" s="117">
        <v>-130000</v>
      </c>
      <c r="AK74" s="20">
        <v>7</v>
      </c>
      <c r="AL74" s="99">
        <f t="shared" si="27"/>
        <v>478</v>
      </c>
      <c r="AM74" s="117">
        <f t="shared" si="11"/>
        <v>-62140000</v>
      </c>
      <c r="AN74" s="20" t="s">
        <v>4202</v>
      </c>
    </row>
    <row r="75" spans="1:40">
      <c r="G75" s="48" t="s">
        <v>786</v>
      </c>
      <c r="H75" s="201" t="s">
        <v>476</v>
      </c>
      <c r="K75" s="168"/>
      <c r="L75" s="117"/>
      <c r="M75" s="168"/>
      <c r="N75" s="113"/>
      <c r="O75">
        <f>O63+219612</f>
        <v>3439331</v>
      </c>
      <c r="P75" t="s">
        <v>25</v>
      </c>
      <c r="Q75" s="169">
        <v>4411104</v>
      </c>
      <c r="R75" s="19" t="s">
        <v>5514</v>
      </c>
      <c r="S75" s="197">
        <f>S74-2</f>
        <v>-3</v>
      </c>
      <c r="T75" s="189" t="s">
        <v>5519</v>
      </c>
      <c r="U75" s="213">
        <v>8086.9</v>
      </c>
      <c r="V75" s="213">
        <f t="shared" si="24"/>
        <v>8191.209932054795</v>
      </c>
      <c r="W75" s="32">
        <f t="shared" si="28"/>
        <v>8355.0341306958908</v>
      </c>
      <c r="X75" s="32">
        <f t="shared" si="29"/>
        <v>8518.8583293369866</v>
      </c>
      <c r="Z75" s="115"/>
      <c r="AH75" s="20">
        <v>55</v>
      </c>
      <c r="AI75" s="117" t="s">
        <v>4248</v>
      </c>
      <c r="AJ75" s="117">
        <v>232000</v>
      </c>
      <c r="AK75" s="20">
        <v>2</v>
      </c>
      <c r="AL75" s="99">
        <f t="shared" si="27"/>
        <v>471</v>
      </c>
      <c r="AM75" s="117">
        <f>AJ75*AL75</f>
        <v>109272000</v>
      </c>
      <c r="AN75" s="20" t="s">
        <v>4250</v>
      </c>
    </row>
    <row r="76" spans="1:40">
      <c r="D76" s="3"/>
      <c r="E76" s="11" t="s">
        <v>304</v>
      </c>
      <c r="G76" s="47">
        <v>700000</v>
      </c>
      <c r="H76" s="201" t="s">
        <v>1036</v>
      </c>
      <c r="K76" s="168"/>
      <c r="L76" s="117"/>
      <c r="M76" s="168"/>
      <c r="N76" s="113">
        <f>SUM(N16:N75)</f>
        <v>1345337422.6157765</v>
      </c>
      <c r="P76" t="s">
        <v>25</v>
      </c>
      <c r="Q76" s="169">
        <v>41979</v>
      </c>
      <c r="R76" s="19" t="s">
        <v>5515</v>
      </c>
      <c r="S76" s="197">
        <f>S75-1</f>
        <v>-4</v>
      </c>
      <c r="T76" s="189" t="s">
        <v>5528</v>
      </c>
      <c r="U76" s="213">
        <v>1990</v>
      </c>
      <c r="V76" s="213">
        <f t="shared" si="24"/>
        <v>2014.1416986301369</v>
      </c>
      <c r="W76" s="32">
        <f t="shared" si="28"/>
        <v>2054.4245326027399</v>
      </c>
      <c r="X76" s="32">
        <f t="shared" si="29"/>
        <v>2094.7073665753423</v>
      </c>
      <c r="Y76" s="122" t="s">
        <v>25</v>
      </c>
      <c r="Z76" s="115"/>
      <c r="AH76" s="20">
        <v>56</v>
      </c>
      <c r="AI76" s="117" t="s">
        <v>4259</v>
      </c>
      <c r="AJ76" s="117">
        <v>-170000</v>
      </c>
      <c r="AK76" s="20">
        <v>3</v>
      </c>
      <c r="AL76" s="99">
        <f t="shared" si="27"/>
        <v>469</v>
      </c>
      <c r="AM76" s="117">
        <f t="shared" si="11"/>
        <v>-79730000</v>
      </c>
      <c r="AN76" s="20"/>
    </row>
    <row r="77" spans="1:40">
      <c r="D77" s="1" t="s">
        <v>305</v>
      </c>
      <c r="E77" s="1">
        <v>70000</v>
      </c>
      <c r="G77" s="47">
        <v>500000</v>
      </c>
      <c r="H77" s="201" t="s">
        <v>479</v>
      </c>
      <c r="K77" s="168" t="s">
        <v>598</v>
      </c>
      <c r="L77" s="113">
        <f>SUM(L16:L53)</f>
        <v>1419624660.9878926</v>
      </c>
      <c r="M77" s="168"/>
      <c r="N77" s="113">
        <f>N16+N17+N42</f>
        <v>641053</v>
      </c>
      <c r="P77" t="s">
        <v>25</v>
      </c>
      <c r="Q77" s="169">
        <v>143462</v>
      </c>
      <c r="R77" s="19" t="s">
        <v>5515</v>
      </c>
      <c r="S77" s="197">
        <f>S76</f>
        <v>-4</v>
      </c>
      <c r="T77" s="189" t="s">
        <v>5538</v>
      </c>
      <c r="U77" s="213">
        <v>340</v>
      </c>
      <c r="V77" s="213">
        <f t="shared" si="24"/>
        <v>344.12471232876715</v>
      </c>
      <c r="W77" s="32">
        <f t="shared" si="28"/>
        <v>351.00720657534248</v>
      </c>
      <c r="X77" s="32">
        <f t="shared" si="29"/>
        <v>357.88970082191787</v>
      </c>
      <c r="Y77" t="s">
        <v>25</v>
      </c>
      <c r="Z77" s="122"/>
      <c r="AA77" t="s">
        <v>25</v>
      </c>
      <c r="AH77" s="20">
        <v>57</v>
      </c>
      <c r="AI77" s="117" t="s">
        <v>4273</v>
      </c>
      <c r="AJ77" s="117">
        <v>-300000</v>
      </c>
      <c r="AK77" s="20">
        <v>3</v>
      </c>
      <c r="AL77" s="99">
        <f t="shared" si="27"/>
        <v>466</v>
      </c>
      <c r="AM77" s="117">
        <f t="shared" si="11"/>
        <v>-139800000</v>
      </c>
      <c r="AN77" s="20"/>
    </row>
    <row r="78" spans="1:40">
      <c r="D78" s="1" t="s">
        <v>321</v>
      </c>
      <c r="E78" s="1">
        <v>100000</v>
      </c>
      <c r="G78" s="47">
        <v>180000</v>
      </c>
      <c r="H78" s="201" t="s">
        <v>558</v>
      </c>
      <c r="K78" s="168" t="s">
        <v>599</v>
      </c>
      <c r="L78" s="113">
        <f>L16+L17+L30</f>
        <v>3406035</v>
      </c>
      <c r="M78" s="113"/>
      <c r="N78" s="168"/>
      <c r="O78" s="115" t="s">
        <v>25</v>
      </c>
      <c r="P78" s="115" t="s">
        <v>25</v>
      </c>
      <c r="Q78" s="169">
        <v>588704</v>
      </c>
      <c r="R78" s="19" t="s">
        <v>5539</v>
      </c>
      <c r="S78" s="197">
        <f>S77-3</f>
        <v>-7</v>
      </c>
      <c r="T78" s="189" t="s">
        <v>5543</v>
      </c>
      <c r="U78" s="213">
        <v>438</v>
      </c>
      <c r="V78" s="213">
        <f t="shared" si="24"/>
        <v>442.30560000000003</v>
      </c>
      <c r="W78" s="32">
        <f t="shared" si="28"/>
        <v>451.15171200000003</v>
      </c>
      <c r="X78" s="32">
        <f t="shared" si="29"/>
        <v>459.99782400000004</v>
      </c>
      <c r="Z78" s="122"/>
      <c r="AD78" s="115"/>
      <c r="AE78" s="115"/>
      <c r="AH78" s="20">
        <v>58</v>
      </c>
      <c r="AI78" s="117" t="s">
        <v>4282</v>
      </c>
      <c r="AJ78" s="117">
        <v>-11400000</v>
      </c>
      <c r="AK78" s="20">
        <v>13</v>
      </c>
      <c r="AL78" s="99">
        <f t="shared" ref="AL78:AL83" si="30">AL79+AK78</f>
        <v>463</v>
      </c>
      <c r="AM78" s="117">
        <f t="shared" si="11"/>
        <v>-5278200000</v>
      </c>
      <c r="AN78" s="20"/>
    </row>
    <row r="79" spans="1:40">
      <c r="D79" s="1" t="s">
        <v>306</v>
      </c>
      <c r="E79" s="1">
        <v>80000</v>
      </c>
      <c r="G79" s="47">
        <v>0</v>
      </c>
      <c r="H79" s="201" t="s">
        <v>782</v>
      </c>
      <c r="K79" s="56" t="s">
        <v>714</v>
      </c>
      <c r="L79" s="1">
        <f>L77+N7</f>
        <v>1519624660.9878926</v>
      </c>
      <c r="O79" s="96"/>
      <c r="P79" s="96"/>
      <c r="Q79" s="169">
        <v>451533</v>
      </c>
      <c r="R79" s="19" t="s">
        <v>5547</v>
      </c>
      <c r="S79" s="197">
        <f>S78-2</f>
        <v>-9</v>
      </c>
      <c r="T79" s="189" t="s">
        <v>5562</v>
      </c>
      <c r="U79" s="213">
        <v>500.5</v>
      </c>
      <c r="V79" s="213">
        <f t="shared" si="24"/>
        <v>504.65209315068495</v>
      </c>
      <c r="W79" s="32">
        <f t="shared" si="28"/>
        <v>514.7451350136987</v>
      </c>
      <c r="X79" s="32">
        <f t="shared" si="29"/>
        <v>524.8381768767124</v>
      </c>
      <c r="Z79" s="122"/>
      <c r="AC79" s="115"/>
      <c r="AD79" s="115"/>
      <c r="AE79" s="115"/>
      <c r="AF79"/>
      <c r="AH79" s="20">
        <v>59</v>
      </c>
      <c r="AI79" s="117" t="s">
        <v>4336</v>
      </c>
      <c r="AJ79" s="117">
        <v>-10000000</v>
      </c>
      <c r="AK79" s="20">
        <v>1</v>
      </c>
      <c r="AL79" s="99">
        <f t="shared" si="30"/>
        <v>450</v>
      </c>
      <c r="AM79" s="117">
        <f>AJ79*AL79</f>
        <v>-4500000000</v>
      </c>
      <c r="AN79" s="20"/>
    </row>
    <row r="80" spans="1:40">
      <c r="D80" s="31" t="s">
        <v>307</v>
      </c>
      <c r="E80" s="1">
        <v>150000</v>
      </c>
      <c r="G80" s="47">
        <v>0</v>
      </c>
      <c r="H80" s="201" t="s">
        <v>783</v>
      </c>
      <c r="J80" t="s">
        <v>25</v>
      </c>
      <c r="M80" s="25"/>
      <c r="O80" t="s">
        <v>25</v>
      </c>
      <c r="Q80" s="169">
        <v>264935</v>
      </c>
      <c r="R80" s="19" t="s">
        <v>5551</v>
      </c>
      <c r="S80" s="197">
        <f>S79-2</f>
        <v>-11</v>
      </c>
      <c r="T80" s="189" t="s">
        <v>5555</v>
      </c>
      <c r="U80" s="213">
        <v>1312</v>
      </c>
      <c r="V80" s="213">
        <f t="shared" si="24"/>
        <v>1320.8712767123291</v>
      </c>
      <c r="W80" s="32">
        <f t="shared" si="28"/>
        <v>1347.2887022465757</v>
      </c>
      <c r="X80" s="32">
        <f t="shared" si="29"/>
        <v>1373.7061277808223</v>
      </c>
      <c r="Z80" s="122"/>
      <c r="AC80" s="115"/>
      <c r="AD80" s="115"/>
      <c r="AE80" s="115"/>
      <c r="AF80"/>
      <c r="AH80" s="20">
        <v>60</v>
      </c>
      <c r="AI80" s="117" t="s">
        <v>4337</v>
      </c>
      <c r="AJ80" s="117">
        <v>-2450000</v>
      </c>
      <c r="AK80" s="20">
        <v>5</v>
      </c>
      <c r="AL80" s="99">
        <f t="shared" si="30"/>
        <v>449</v>
      </c>
      <c r="AM80" s="117">
        <f>AJ80*AL80</f>
        <v>-1100050000</v>
      </c>
      <c r="AN80" s="20"/>
    </row>
    <row r="81" spans="4:52">
      <c r="D81" s="31" t="s">
        <v>308</v>
      </c>
      <c r="E81" s="1">
        <v>300000</v>
      </c>
      <c r="G81" s="47">
        <v>500000</v>
      </c>
      <c r="H81" s="48" t="s">
        <v>784</v>
      </c>
      <c r="M81" s="25" t="s">
        <v>4076</v>
      </c>
      <c r="N81" s="282" t="s">
        <v>5324</v>
      </c>
      <c r="O81" s="96" t="s">
        <v>25</v>
      </c>
      <c r="P81" s="115"/>
      <c r="Q81" s="169">
        <v>84983</v>
      </c>
      <c r="R81" s="19" t="s">
        <v>5551</v>
      </c>
      <c r="S81" s="197">
        <f>S80</f>
        <v>-11</v>
      </c>
      <c r="T81" s="189" t="s">
        <v>5556</v>
      </c>
      <c r="U81" s="213">
        <v>2350</v>
      </c>
      <c r="V81" s="213">
        <f t="shared" si="24"/>
        <v>2365.8898630136991</v>
      </c>
      <c r="W81" s="32">
        <f t="shared" si="28"/>
        <v>2413.207660273973</v>
      </c>
      <c r="X81" s="32">
        <f t="shared" si="29"/>
        <v>2460.5254575342474</v>
      </c>
      <c r="Z81" s="122"/>
      <c r="AA81" t="s">
        <v>25</v>
      </c>
      <c r="AD81" s="115"/>
      <c r="AE81" s="115"/>
      <c r="AF81" s="115"/>
      <c r="AH81" s="20">
        <v>61</v>
      </c>
      <c r="AI81" s="117" t="s">
        <v>4361</v>
      </c>
      <c r="AJ81" s="117">
        <v>-456081</v>
      </c>
      <c r="AK81" s="20">
        <v>1</v>
      </c>
      <c r="AL81" s="99">
        <f t="shared" si="30"/>
        <v>444</v>
      </c>
      <c r="AM81" s="117">
        <f t="shared" si="11"/>
        <v>-202499964</v>
      </c>
      <c r="AN81" s="20"/>
    </row>
    <row r="82" spans="4:52">
      <c r="D82" s="31" t="s">
        <v>309</v>
      </c>
      <c r="E82" s="1">
        <v>100000</v>
      </c>
      <c r="G82" s="47">
        <v>75000</v>
      </c>
      <c r="H82" s="48" t="s">
        <v>785</v>
      </c>
      <c r="M82" s="177"/>
      <c r="N82" s="96"/>
      <c r="O82" s="96"/>
      <c r="P82" s="115"/>
      <c r="Q82" s="169">
        <v>124313</v>
      </c>
      <c r="R82" s="19" t="s">
        <v>5567</v>
      </c>
      <c r="S82" s="197">
        <f>S81-3</f>
        <v>-14</v>
      </c>
      <c r="T82" s="189" t="s">
        <v>5568</v>
      </c>
      <c r="U82" s="213">
        <v>460</v>
      </c>
      <c r="V82" s="213">
        <f t="shared" si="24"/>
        <v>462.05172602739725</v>
      </c>
      <c r="W82" s="32">
        <f t="shared" si="28"/>
        <v>471.29276054794519</v>
      </c>
      <c r="X82" s="32">
        <f t="shared" si="29"/>
        <v>480.53379506849313</v>
      </c>
      <c r="Y82" s="96" t="s">
        <v>25</v>
      </c>
      <c r="Z82" s="122"/>
      <c r="AA82" s="115"/>
      <c r="AB82" s="115"/>
      <c r="AC82" s="115"/>
      <c r="AD82" s="115"/>
      <c r="AE82" s="115"/>
      <c r="AF82" s="115"/>
      <c r="AH82" s="20">
        <v>62</v>
      </c>
      <c r="AI82" s="117" t="s">
        <v>4363</v>
      </c>
      <c r="AJ82" s="117">
        <v>-500000</v>
      </c>
      <c r="AK82" s="20">
        <v>2</v>
      </c>
      <c r="AL82" s="99">
        <f t="shared" si="30"/>
        <v>443</v>
      </c>
      <c r="AM82" s="117">
        <f t="shared" si="11"/>
        <v>-221500000</v>
      </c>
      <c r="AN82" s="20"/>
      <c r="AO82" t="s">
        <v>25</v>
      </c>
      <c r="AU82"/>
      <c r="AW82" t="s">
        <v>25</v>
      </c>
    </row>
    <row r="83" spans="4:52">
      <c r="D83" s="31" t="s">
        <v>310</v>
      </c>
      <c r="E83" s="1">
        <v>200000</v>
      </c>
      <c r="G83" s="47">
        <v>0</v>
      </c>
      <c r="H83" s="48" t="s">
        <v>787</v>
      </c>
      <c r="M83" s="96" t="s">
        <v>4778</v>
      </c>
      <c r="N83" s="96"/>
      <c r="O83" s="96"/>
      <c r="Q83" s="169"/>
      <c r="R83" s="19"/>
      <c r="S83" s="197"/>
      <c r="T83" s="189"/>
      <c r="U83" s="213"/>
      <c r="V83" s="213"/>
      <c r="W83" s="32"/>
      <c r="X83" s="32"/>
      <c r="Y83" s="96" t="s">
        <v>25</v>
      </c>
      <c r="AA83" s="115"/>
      <c r="AB83" s="115"/>
      <c r="AC83" s="128"/>
      <c r="AD83" s="115"/>
      <c r="AE83" s="115"/>
      <c r="AF83" s="115"/>
      <c r="AH83" s="20">
        <v>63</v>
      </c>
      <c r="AI83" s="117" t="s">
        <v>4381</v>
      </c>
      <c r="AJ83" s="117">
        <v>-6234370</v>
      </c>
      <c r="AK83" s="20">
        <v>3</v>
      </c>
      <c r="AL83" s="99">
        <f t="shared" si="30"/>
        <v>441</v>
      </c>
      <c r="AM83" s="117">
        <f t="shared" si="11"/>
        <v>-2749357170</v>
      </c>
      <c r="AN83" s="20"/>
      <c r="AU83"/>
    </row>
    <row r="84" spans="4:52">
      <c r="D84" s="18" t="s">
        <v>311</v>
      </c>
      <c r="E84" s="18">
        <v>300000</v>
      </c>
      <c r="G84" s="47">
        <v>500000</v>
      </c>
      <c r="H84" s="48" t="s">
        <v>564</v>
      </c>
      <c r="J84">
        <v>0</v>
      </c>
      <c r="M84" s="122" t="s">
        <v>4398</v>
      </c>
      <c r="O84" s="114"/>
      <c r="Q84" s="169"/>
      <c r="R84" s="19"/>
      <c r="S84" s="197"/>
      <c r="T84" s="189"/>
      <c r="U84" s="213"/>
      <c r="V84" s="213"/>
      <c r="W84" s="32"/>
      <c r="X84" s="32"/>
      <c r="Y84" s="96" t="s">
        <v>25</v>
      </c>
      <c r="AA84" s="115"/>
      <c r="AB84" s="115"/>
      <c r="AC84" s="128"/>
      <c r="AD84" s="115"/>
      <c r="AE84" s="115"/>
      <c r="AF84" s="115"/>
      <c r="AH84" s="20">
        <v>64</v>
      </c>
      <c r="AI84" s="117" t="s">
        <v>4391</v>
      </c>
      <c r="AJ84" s="117">
        <v>1950957</v>
      </c>
      <c r="AK84" s="20">
        <v>4</v>
      </c>
      <c r="AL84" s="99">
        <f t="shared" si="27"/>
        <v>438</v>
      </c>
      <c r="AM84" s="117">
        <f t="shared" si="11"/>
        <v>854519166</v>
      </c>
      <c r="AN84" s="20"/>
      <c r="AZ84" t="s">
        <v>25</v>
      </c>
    </row>
    <row r="85" spans="4:52">
      <c r="D85" s="32" t="s">
        <v>312</v>
      </c>
      <c r="E85" s="1">
        <v>200000</v>
      </c>
      <c r="G85" s="47">
        <v>50000</v>
      </c>
      <c r="H85" s="48" t="s">
        <v>790</v>
      </c>
      <c r="M85" s="122" t="s">
        <v>4490</v>
      </c>
      <c r="N85" s="96"/>
      <c r="Q85" s="169"/>
      <c r="R85" s="168"/>
      <c r="S85" s="113"/>
      <c r="T85" s="113"/>
      <c r="U85" s="168" t="s">
        <v>25</v>
      </c>
      <c r="V85" s="213" t="e">
        <f>U85*(1+$R$90+$Q$15*S85/36500)</f>
        <v>#VALUE!</v>
      </c>
      <c r="W85" s="32" t="e">
        <f t="shared" si="28"/>
        <v>#VALUE!</v>
      </c>
      <c r="X85" s="32" t="e">
        <f t="shared" si="29"/>
        <v>#VALUE!</v>
      </c>
      <c r="Y85" s="96" t="s">
        <v>25</v>
      </c>
      <c r="AA85" s="115"/>
      <c r="AB85" s="115"/>
      <c r="AC85" s="128"/>
      <c r="AD85" s="115"/>
      <c r="AE85" s="115"/>
      <c r="AF85" s="115"/>
      <c r="AH85" s="20">
        <v>65</v>
      </c>
      <c r="AI85" s="117" t="s">
        <v>4416</v>
      </c>
      <c r="AJ85" s="117">
        <v>600000</v>
      </c>
      <c r="AK85" s="20">
        <v>5</v>
      </c>
      <c r="AL85" s="99">
        <f t="shared" si="27"/>
        <v>434</v>
      </c>
      <c r="AM85" s="117">
        <f t="shared" si="11"/>
        <v>260400000</v>
      </c>
      <c r="AN85" s="20"/>
    </row>
    <row r="86" spans="4:52">
      <c r="D86" s="32" t="s">
        <v>313</v>
      </c>
      <c r="E86" s="1">
        <v>20000</v>
      </c>
      <c r="G86" s="47">
        <v>140000</v>
      </c>
      <c r="H86" s="48" t="s">
        <v>314</v>
      </c>
      <c r="M86" s="122" t="s">
        <v>4559</v>
      </c>
      <c r="N86" s="96"/>
      <c r="O86" s="283"/>
      <c r="P86" t="s">
        <v>25</v>
      </c>
      <c r="Q86" s="113">
        <f>SUM(N31:N38)-SUM(Q61:Q85)</f>
        <v>60381259.399999991</v>
      </c>
      <c r="R86" s="168"/>
      <c r="S86" s="168"/>
      <c r="T86" s="168"/>
      <c r="U86" s="168"/>
      <c r="V86" s="168"/>
      <c r="W86" s="32"/>
      <c r="X86" s="32"/>
      <c r="Y86" s="96" t="s">
        <v>25</v>
      </c>
      <c r="AA86" s="122" t="s">
        <v>25</v>
      </c>
      <c r="AB86" s="115"/>
      <c r="AC86" s="128"/>
      <c r="AD86" s="115"/>
      <c r="AE86" s="115"/>
      <c r="AF86" s="115"/>
      <c r="AH86" s="20">
        <v>66</v>
      </c>
      <c r="AI86" s="117" t="s">
        <v>4424</v>
      </c>
      <c r="AJ86" s="117">
        <v>7500000</v>
      </c>
      <c r="AK86" s="20">
        <v>2</v>
      </c>
      <c r="AL86" s="99">
        <f t="shared" si="27"/>
        <v>429</v>
      </c>
      <c r="AM86" s="117">
        <f t="shared" si="11"/>
        <v>3217500000</v>
      </c>
      <c r="AN86" s="20"/>
      <c r="AS86" s="96"/>
    </row>
    <row r="87" spans="4:52" ht="30">
      <c r="D87" s="32" t="s">
        <v>315</v>
      </c>
      <c r="E87" s="1">
        <v>50000</v>
      </c>
      <c r="G87" s="47"/>
      <c r="H87" s="48" t="s">
        <v>25</v>
      </c>
      <c r="J87">
        <v>0</v>
      </c>
      <c r="M87" s="206" t="s">
        <v>4672</v>
      </c>
      <c r="N87" s="96"/>
      <c r="P87" s="115"/>
      <c r="R87" s="115"/>
      <c r="S87" s="115"/>
      <c r="T87" s="115" t="s">
        <v>25</v>
      </c>
      <c r="U87" s="115" t="s">
        <v>25</v>
      </c>
      <c r="V87" s="115" t="s">
        <v>25</v>
      </c>
      <c r="W87" s="194" t="s">
        <v>25</v>
      </c>
      <c r="X87" s="194"/>
      <c r="Y87" s="122" t="s">
        <v>25</v>
      </c>
      <c r="AA87" s="115" t="s">
        <v>25</v>
      </c>
      <c r="AB87" s="115"/>
      <c r="AC87" s="128"/>
      <c r="AD87" s="115"/>
      <c r="AE87" s="115"/>
      <c r="AF87" s="115"/>
      <c r="AH87" s="20">
        <v>67</v>
      </c>
      <c r="AI87" s="117" t="s">
        <v>4429</v>
      </c>
      <c r="AJ87" s="117">
        <v>-587816</v>
      </c>
      <c r="AK87" s="20">
        <v>3</v>
      </c>
      <c r="AL87" s="99">
        <f t="shared" si="27"/>
        <v>427</v>
      </c>
      <c r="AM87" s="117">
        <f t="shared" si="11"/>
        <v>-250997432</v>
      </c>
      <c r="AN87" s="20"/>
      <c r="AS87" s="96"/>
    </row>
    <row r="88" spans="4:52" ht="31.5">
      <c r="D88" s="32" t="s">
        <v>316</v>
      </c>
      <c r="E88" s="1">
        <v>90000</v>
      </c>
      <c r="G88" s="47">
        <f>SUM(G76:G87)</f>
        <v>2645000</v>
      </c>
      <c r="H88" s="48" t="s">
        <v>6</v>
      </c>
      <c r="K88" s="212" t="s">
        <v>4717</v>
      </c>
      <c r="L88" s="22" t="s">
        <v>4693</v>
      </c>
      <c r="M88" s="258" t="s">
        <v>5021</v>
      </c>
      <c r="N88" s="96"/>
      <c r="P88" s="115" t="s">
        <v>25</v>
      </c>
      <c r="Q88" s="99" t="s">
        <v>946</v>
      </c>
      <c r="R88" s="99">
        <v>1.03E-2</v>
      </c>
      <c r="S88" s="26" t="s">
        <v>25</v>
      </c>
      <c r="T88" t="s">
        <v>25</v>
      </c>
      <c r="U88" s="96" t="s">
        <v>25</v>
      </c>
      <c r="V88" s="115" t="s">
        <v>25</v>
      </c>
      <c r="W88" s="194" t="s">
        <v>25</v>
      </c>
      <c r="X88" s="194"/>
      <c r="Z88" s="115"/>
      <c r="AA88" s="115"/>
      <c r="AB88" s="115"/>
      <c r="AC88" s="128"/>
      <c r="AD88" s="115"/>
      <c r="AE88" s="115"/>
      <c r="AF88" s="115"/>
      <c r="AH88" s="20">
        <v>68</v>
      </c>
      <c r="AI88" s="117" t="s">
        <v>4428</v>
      </c>
      <c r="AJ88" s="117">
        <v>-907489</v>
      </c>
      <c r="AK88" s="20">
        <v>0</v>
      </c>
      <c r="AL88" s="99">
        <f>AL89+AK88</f>
        <v>424</v>
      </c>
      <c r="AM88" s="117">
        <f t="shared" si="11"/>
        <v>-384775336</v>
      </c>
      <c r="AN88" s="20"/>
      <c r="AP88" t="s">
        <v>25</v>
      </c>
      <c r="AV88" t="s">
        <v>25</v>
      </c>
    </row>
    <row r="89" spans="4:52">
      <c r="D89" s="32" t="s">
        <v>317</v>
      </c>
      <c r="E89" s="1">
        <v>50000</v>
      </c>
      <c r="K89" t="s">
        <v>4718</v>
      </c>
      <c r="M89" s="122" t="s">
        <v>5274</v>
      </c>
      <c r="O89" t="s">
        <v>25</v>
      </c>
      <c r="P89" s="115"/>
      <c r="Q89" s="99" t="s">
        <v>61</v>
      </c>
      <c r="R89" s="99">
        <v>4.8999999999999998E-3</v>
      </c>
      <c r="T89" s="114"/>
      <c r="U89" s="96" t="s">
        <v>25</v>
      </c>
      <c r="V89" t="s">
        <v>25</v>
      </c>
      <c r="W89" s="194" t="s">
        <v>25</v>
      </c>
      <c r="X89" s="194"/>
      <c r="Z89" s="115"/>
      <c r="AA89" s="115"/>
      <c r="AB89" s="115"/>
      <c r="AC89" s="115"/>
      <c r="AD89" s="115"/>
      <c r="AE89" s="115"/>
      <c r="AF89" s="115"/>
      <c r="AG89" s="115"/>
      <c r="AH89" s="20">
        <v>69</v>
      </c>
      <c r="AI89" s="117" t="s">
        <v>4428</v>
      </c>
      <c r="AJ89" s="117">
        <v>2450000</v>
      </c>
      <c r="AK89" s="20">
        <v>1</v>
      </c>
      <c r="AL89" s="99">
        <f t="shared" si="27"/>
        <v>424</v>
      </c>
      <c r="AM89" s="117">
        <f t="shared" si="11"/>
        <v>1038800000</v>
      </c>
      <c r="AN89" s="20" t="s">
        <v>4466</v>
      </c>
      <c r="AQ89" t="s">
        <v>25</v>
      </c>
      <c r="AR89" t="s">
        <v>25</v>
      </c>
    </row>
    <row r="90" spans="4:52">
      <c r="D90" s="32" t="s">
        <v>327</v>
      </c>
      <c r="E90" s="1">
        <v>150000</v>
      </c>
      <c r="J90" t="s">
        <v>25</v>
      </c>
      <c r="K90" t="s">
        <v>4562</v>
      </c>
      <c r="L90" s="96"/>
      <c r="M90" s="96">
        <f>O63+O21+O38-O70</f>
        <v>4956895</v>
      </c>
      <c r="N90" s="113">
        <f>M90*P63</f>
        <v>2611292286</v>
      </c>
      <c r="P90" s="116"/>
      <c r="Q90" s="99" t="s">
        <v>6</v>
      </c>
      <c r="R90" s="99">
        <f>R88+R89</f>
        <v>1.52E-2</v>
      </c>
      <c r="T90" t="s">
        <v>25</v>
      </c>
      <c r="U90" s="96" t="s">
        <v>25</v>
      </c>
      <c r="V90" t="s">
        <v>25</v>
      </c>
      <c r="W90" s="194"/>
      <c r="X90" s="194"/>
      <c r="Z90" s="115"/>
      <c r="AA90" s="115"/>
      <c r="AB90" s="115"/>
      <c r="AC90" s="115"/>
      <c r="AD90" s="115"/>
      <c r="AE90"/>
      <c r="AG90" s="115"/>
      <c r="AH90" s="20">
        <v>70</v>
      </c>
      <c r="AI90" s="117" t="s">
        <v>4468</v>
      </c>
      <c r="AJ90" s="117">
        <v>1500000</v>
      </c>
      <c r="AK90" s="20">
        <v>1</v>
      </c>
      <c r="AL90" s="99">
        <f t="shared" si="27"/>
        <v>423</v>
      </c>
      <c r="AM90" s="117">
        <f t="shared" si="11"/>
        <v>634500000</v>
      </c>
      <c r="AN90" s="20"/>
      <c r="AP90" t="s">
        <v>25</v>
      </c>
      <c r="AU90" s="96" t="s">
        <v>25</v>
      </c>
    </row>
    <row r="91" spans="4:52">
      <c r="D91" s="32" t="s">
        <v>318</v>
      </c>
      <c r="E91" s="1">
        <v>15000</v>
      </c>
      <c r="F91" s="96"/>
      <c r="G91" s="96"/>
      <c r="H91" s="96"/>
      <c r="I91" s="96"/>
      <c r="J91" s="96"/>
      <c r="K91" t="s">
        <v>4779</v>
      </c>
      <c r="M91" t="s">
        <v>4257</v>
      </c>
      <c r="P91" s="115"/>
      <c r="W91" s="194"/>
      <c r="X91" s="194"/>
      <c r="Z91" s="115"/>
      <c r="AA91" s="115"/>
      <c r="AE91"/>
      <c r="AG91" s="96"/>
      <c r="AH91" s="20">
        <v>71</v>
      </c>
      <c r="AI91" s="117" t="s">
        <v>4474</v>
      </c>
      <c r="AJ91" s="117">
        <v>2648000</v>
      </c>
      <c r="AK91" s="20">
        <v>1</v>
      </c>
      <c r="AL91" s="99">
        <f t="shared" si="27"/>
        <v>422</v>
      </c>
      <c r="AM91" s="117">
        <f t="shared" si="11"/>
        <v>1117456000</v>
      </c>
      <c r="AN91" s="20" t="s">
        <v>4475</v>
      </c>
      <c r="AU91" s="96" t="s">
        <v>25</v>
      </c>
    </row>
    <row r="92" spans="4:52" ht="30">
      <c r="D92" s="32" t="s">
        <v>319</v>
      </c>
      <c r="E92" s="1">
        <v>20000</v>
      </c>
      <c r="F92" s="96"/>
      <c r="G92" s="96"/>
      <c r="H92" s="96"/>
      <c r="I92" s="96"/>
      <c r="J92" s="96"/>
      <c r="K92" t="s">
        <v>4780</v>
      </c>
      <c r="M92" t="s">
        <v>4564</v>
      </c>
      <c r="N92" t="s">
        <v>25</v>
      </c>
      <c r="P92" s="115"/>
      <c r="Q92" s="73" t="s">
        <v>4285</v>
      </c>
      <c r="R92" s="112"/>
      <c r="S92" s="112"/>
      <c r="T92" s="112"/>
      <c r="U92" s="168" t="s">
        <v>4352</v>
      </c>
      <c r="V92" s="36" t="s">
        <v>4354</v>
      </c>
      <c r="W92" s="32"/>
      <c r="X92" s="32"/>
      <c r="Z92" s="115"/>
      <c r="AA92" s="115"/>
      <c r="AE92"/>
      <c r="AG92" s="96"/>
      <c r="AH92" s="20">
        <v>72</v>
      </c>
      <c r="AI92" s="117" t="s">
        <v>4222</v>
      </c>
      <c r="AJ92" s="117">
        <v>615000</v>
      </c>
      <c r="AK92" s="20">
        <v>4</v>
      </c>
      <c r="AL92" s="99">
        <f t="shared" si="27"/>
        <v>421</v>
      </c>
      <c r="AM92" s="117">
        <f t="shared" si="11"/>
        <v>258915000</v>
      </c>
      <c r="AN92" s="20"/>
      <c r="AV92" t="s">
        <v>25</v>
      </c>
    </row>
    <row r="93" spans="4:52" ht="26.25">
      <c r="D93" s="32" t="s">
        <v>320</v>
      </c>
      <c r="E93" s="1">
        <v>40000</v>
      </c>
      <c r="F93" s="96"/>
      <c r="G93" s="96"/>
      <c r="H93" s="96"/>
      <c r="I93" s="96"/>
      <c r="J93" s="96"/>
      <c r="K93" t="s">
        <v>4781</v>
      </c>
      <c r="M93" s="255"/>
      <c r="P93" s="115"/>
      <c r="Q93" s="112" t="s">
        <v>267</v>
      </c>
      <c r="R93" s="112" t="s">
        <v>180</v>
      </c>
      <c r="S93" s="112" t="s">
        <v>183</v>
      </c>
      <c r="T93" s="112" t="s">
        <v>8</v>
      </c>
      <c r="U93" s="168"/>
      <c r="V93" s="99"/>
      <c r="W93" s="32">
        <v>2</v>
      </c>
      <c r="X93" s="32">
        <v>4</v>
      </c>
      <c r="Z93" s="115"/>
      <c r="AA93" s="115"/>
      <c r="AE93"/>
      <c r="AG93" s="96"/>
      <c r="AH93" s="20">
        <v>73</v>
      </c>
      <c r="AI93" s="117" t="s">
        <v>4485</v>
      </c>
      <c r="AJ93" s="117">
        <v>14000000</v>
      </c>
      <c r="AK93" s="20">
        <v>2</v>
      </c>
      <c r="AL93" s="99">
        <f>AL94+AK93</f>
        <v>417</v>
      </c>
      <c r="AM93" s="117">
        <f t="shared" si="11"/>
        <v>5838000000</v>
      </c>
      <c r="AN93" s="20"/>
    </row>
    <row r="94" spans="4:52">
      <c r="D94" s="32" t="s">
        <v>322</v>
      </c>
      <c r="E94" s="1">
        <v>150000</v>
      </c>
      <c r="F94" s="96"/>
      <c r="G94" s="96"/>
      <c r="H94" s="96"/>
      <c r="I94" s="96"/>
      <c r="J94" s="96"/>
      <c r="K94" t="s">
        <v>4523</v>
      </c>
      <c r="M94" t="s">
        <v>4994</v>
      </c>
      <c r="P94" s="115"/>
      <c r="Q94" s="35">
        <v>184971545</v>
      </c>
      <c r="R94" s="5" t="s">
        <v>4166</v>
      </c>
      <c r="S94" s="5">
        <v>525</v>
      </c>
      <c r="T94" s="5" t="s">
        <v>4335</v>
      </c>
      <c r="U94" s="168">
        <v>192</v>
      </c>
      <c r="V94" s="99">
        <f t="shared" ref="V94:V125" si="31">U94*(1+$R$90+$Q$15*S94/36500)</f>
        <v>272.24442739726032</v>
      </c>
      <c r="W94" s="32">
        <f t="shared" ref="W94:W110" si="32">V94*(1+$W$19/100)</f>
        <v>277.68931594520552</v>
      </c>
      <c r="X94" s="32">
        <f t="shared" ref="X94:X110" si="33">V94*(1+$X$19/100)</f>
        <v>283.13420449315072</v>
      </c>
      <c r="Y94">
        <v>961521</v>
      </c>
      <c r="AH94" s="20">
        <v>74</v>
      </c>
      <c r="AI94" s="117" t="s">
        <v>4489</v>
      </c>
      <c r="AJ94" s="117">
        <v>1313000</v>
      </c>
      <c r="AK94" s="20">
        <v>0</v>
      </c>
      <c r="AL94" s="99">
        <f>AL95+AK94</f>
        <v>415</v>
      </c>
      <c r="AM94" s="117">
        <f t="shared" si="11"/>
        <v>544895000</v>
      </c>
      <c r="AN94" s="20"/>
      <c r="AQ94" t="s">
        <v>25</v>
      </c>
    </row>
    <row r="95" spans="4:52">
      <c r="D95" s="32" t="s">
        <v>324</v>
      </c>
      <c r="E95" s="1">
        <v>75000</v>
      </c>
      <c r="F95" s="96"/>
      <c r="G95" s="96"/>
      <c r="H95" s="96"/>
      <c r="I95" s="96"/>
      <c r="J95" s="96"/>
      <c r="K95" t="s">
        <v>4566</v>
      </c>
      <c r="M95" s="260" t="s">
        <v>5031</v>
      </c>
      <c r="P95" s="115"/>
      <c r="Q95" s="35">
        <v>9560464</v>
      </c>
      <c r="R95" s="5" t="s">
        <v>4289</v>
      </c>
      <c r="S95" s="5">
        <f>S94-31</f>
        <v>494</v>
      </c>
      <c r="T95" s="5" t="s">
        <v>4302</v>
      </c>
      <c r="U95" s="168">
        <v>214.57</v>
      </c>
      <c r="V95" s="99">
        <f t="shared" si="31"/>
        <v>299.14467605479456</v>
      </c>
      <c r="W95" s="32">
        <f t="shared" si="32"/>
        <v>305.12756957589045</v>
      </c>
      <c r="X95" s="32">
        <f t="shared" si="33"/>
        <v>311.11046309698634</v>
      </c>
      <c r="Y95">
        <v>44349</v>
      </c>
      <c r="AH95" s="99">
        <v>75</v>
      </c>
      <c r="AI95" s="113" t="s">
        <v>4489</v>
      </c>
      <c r="AJ95" s="113">
        <v>2269000</v>
      </c>
      <c r="AK95" s="99">
        <v>1</v>
      </c>
      <c r="AL95" s="99">
        <f t="shared" ref="AL95:AL120" si="34">AL96+AK95</f>
        <v>415</v>
      </c>
      <c r="AM95" s="117">
        <f t="shared" si="11"/>
        <v>941635000</v>
      </c>
      <c r="AN95" s="99"/>
    </row>
    <row r="96" spans="4:52">
      <c r="D96" s="32" t="s">
        <v>314</v>
      </c>
      <c r="E96" s="1">
        <v>140000</v>
      </c>
      <c r="F96" s="96"/>
      <c r="G96" s="96"/>
      <c r="H96" s="96"/>
      <c r="I96" s="96"/>
      <c r="J96" s="96"/>
      <c r="K96" t="s">
        <v>4522</v>
      </c>
      <c r="M96" s="260" t="s">
        <v>5032</v>
      </c>
      <c r="O96" t="s">
        <v>25</v>
      </c>
      <c r="P96" t="s">
        <v>25</v>
      </c>
      <c r="Q96" s="35">
        <v>2000000</v>
      </c>
      <c r="R96" s="5" t="s">
        <v>4332</v>
      </c>
      <c r="S96" s="5">
        <f>S95-11</f>
        <v>483</v>
      </c>
      <c r="T96" s="5" t="s">
        <v>4334</v>
      </c>
      <c r="U96" s="168">
        <v>206.8</v>
      </c>
      <c r="V96" s="99">
        <f t="shared" si="31"/>
        <v>286.56700931506856</v>
      </c>
      <c r="W96" s="32">
        <f t="shared" si="32"/>
        <v>292.29834950136996</v>
      </c>
      <c r="X96" s="32">
        <f t="shared" si="33"/>
        <v>298.02968968767129</v>
      </c>
      <c r="Y96">
        <v>9625</v>
      </c>
      <c r="AH96" s="99">
        <v>76</v>
      </c>
      <c r="AI96" s="113" t="s">
        <v>4223</v>
      </c>
      <c r="AJ96" s="113">
        <v>750000</v>
      </c>
      <c r="AK96" s="99">
        <v>4</v>
      </c>
      <c r="AL96" s="99">
        <f t="shared" si="34"/>
        <v>414</v>
      </c>
      <c r="AM96" s="117">
        <f t="shared" si="11"/>
        <v>310500000</v>
      </c>
      <c r="AN96" s="99"/>
      <c r="AQ96" t="s">
        <v>25</v>
      </c>
    </row>
    <row r="97" spans="4:47">
      <c r="D97" s="2" t="s">
        <v>478</v>
      </c>
      <c r="E97" s="3">
        <v>1083333</v>
      </c>
      <c r="F97" s="96"/>
      <c r="G97" s="96"/>
      <c r="H97" s="96"/>
      <c r="I97" s="96"/>
      <c r="J97" s="96"/>
      <c r="K97" s="22" t="s">
        <v>4233</v>
      </c>
      <c r="Q97" s="35">
        <v>1429825</v>
      </c>
      <c r="R97" s="5" t="s">
        <v>4361</v>
      </c>
      <c r="S97" s="5">
        <f>S96-7</f>
        <v>476</v>
      </c>
      <c r="T97" s="5" t="s">
        <v>4370</v>
      </c>
      <c r="U97" s="168">
        <v>203.9</v>
      </c>
      <c r="V97" s="99">
        <f t="shared" si="31"/>
        <v>281.45350465753427</v>
      </c>
      <c r="W97" s="32">
        <f t="shared" si="32"/>
        <v>287.08257475068496</v>
      </c>
      <c r="X97" s="32">
        <f t="shared" si="33"/>
        <v>292.71164484383564</v>
      </c>
      <c r="Y97">
        <v>6980</v>
      </c>
      <c r="AH97" s="99">
        <v>77</v>
      </c>
      <c r="AI97" s="113" t="s">
        <v>4496</v>
      </c>
      <c r="AJ97" s="113">
        <v>1900000</v>
      </c>
      <c r="AK97" s="99">
        <v>3</v>
      </c>
      <c r="AL97" s="99">
        <f t="shared" si="34"/>
        <v>410</v>
      </c>
      <c r="AM97" s="117">
        <f t="shared" si="11"/>
        <v>779000000</v>
      </c>
      <c r="AN97" s="99"/>
    </row>
    <row r="98" spans="4:47">
      <c r="D98" s="2"/>
      <c r="E98" s="3"/>
      <c r="F98" s="96"/>
      <c r="G98" s="96"/>
      <c r="H98" s="96"/>
      <c r="I98" s="96"/>
      <c r="J98" s="96"/>
      <c r="K98" t="s">
        <v>4519</v>
      </c>
      <c r="Q98" s="35">
        <v>1420747</v>
      </c>
      <c r="R98" s="5" t="s">
        <v>4361</v>
      </c>
      <c r="S98" s="5">
        <f>S97</f>
        <v>476</v>
      </c>
      <c r="T98" s="5" t="s">
        <v>4372</v>
      </c>
      <c r="U98" s="168">
        <v>203.1</v>
      </c>
      <c r="V98" s="99">
        <f t="shared" si="31"/>
        <v>280.34922410958904</v>
      </c>
      <c r="W98" s="32">
        <f t="shared" si="32"/>
        <v>285.95620859178081</v>
      </c>
      <c r="X98" s="32">
        <f t="shared" si="33"/>
        <v>291.56319307397263</v>
      </c>
      <c r="Y98">
        <v>6963</v>
      </c>
      <c r="AH98" s="99">
        <v>78</v>
      </c>
      <c r="AI98" s="113" t="s">
        <v>4509</v>
      </c>
      <c r="AJ98" s="113">
        <v>6400000</v>
      </c>
      <c r="AK98" s="99">
        <v>1</v>
      </c>
      <c r="AL98" s="99">
        <f t="shared" si="34"/>
        <v>407</v>
      </c>
      <c r="AM98" s="117">
        <f t="shared" si="11"/>
        <v>2604800000</v>
      </c>
      <c r="AN98" s="99"/>
      <c r="AT98" s="96" t="s">
        <v>25</v>
      </c>
    </row>
    <row r="99" spans="4:47">
      <c r="D99" s="2"/>
      <c r="E99" s="3"/>
      <c r="F99" s="96"/>
      <c r="G99" s="96"/>
      <c r="H99" s="96"/>
      <c r="I99" s="96"/>
      <c r="J99" s="96"/>
      <c r="K99" t="s">
        <v>4286</v>
      </c>
      <c r="Q99" s="35">
        <v>2010885</v>
      </c>
      <c r="R99" s="5" t="s">
        <v>4381</v>
      </c>
      <c r="S99" s="5">
        <f>S98-3</f>
        <v>473</v>
      </c>
      <c r="T99" s="5" t="s">
        <v>4386</v>
      </c>
      <c r="U99" s="168">
        <v>202.1</v>
      </c>
      <c r="V99" s="99">
        <f t="shared" si="31"/>
        <v>278.50376657534252</v>
      </c>
      <c r="W99" s="32">
        <f t="shared" si="32"/>
        <v>284.0738419068494</v>
      </c>
      <c r="X99" s="32">
        <f t="shared" si="33"/>
        <v>289.64391723835621</v>
      </c>
      <c r="Y99" s="96">
        <v>0</v>
      </c>
      <c r="AH99" s="99">
        <v>79</v>
      </c>
      <c r="AI99" s="113" t="s">
        <v>4507</v>
      </c>
      <c r="AJ99" s="113">
        <v>5000</v>
      </c>
      <c r="AK99" s="99">
        <v>5</v>
      </c>
      <c r="AL99" s="99">
        <f t="shared" si="34"/>
        <v>406</v>
      </c>
      <c r="AM99" s="117">
        <f t="shared" si="11"/>
        <v>2030000</v>
      </c>
      <c r="AN99" s="99"/>
      <c r="AP99" t="s">
        <v>25</v>
      </c>
    </row>
    <row r="100" spans="4:47">
      <c r="D100" s="2" t="s">
        <v>6</v>
      </c>
      <c r="E100" s="3">
        <f>SUM(E77:E98)</f>
        <v>3383333</v>
      </c>
      <c r="F100" s="96"/>
      <c r="G100" s="96"/>
      <c r="H100" s="96"/>
      <c r="I100" s="96"/>
      <c r="J100" s="96"/>
      <c r="K100" t="s">
        <v>25</v>
      </c>
      <c r="M100" s="193" t="s">
        <v>4518</v>
      </c>
      <c r="Q100" s="35">
        <v>444</v>
      </c>
      <c r="R100" s="5" t="s">
        <v>4391</v>
      </c>
      <c r="S100" s="5">
        <f>S99-3</f>
        <v>470</v>
      </c>
      <c r="T100" s="5" t="s">
        <v>4591</v>
      </c>
      <c r="U100" s="168">
        <v>441.8</v>
      </c>
      <c r="V100" s="99">
        <f t="shared" si="31"/>
        <v>607.80544219178091</v>
      </c>
      <c r="W100" s="32">
        <f t="shared" si="32"/>
        <v>619.96155103561659</v>
      </c>
      <c r="X100" s="32">
        <f t="shared" si="33"/>
        <v>632.11765987945216</v>
      </c>
      <c r="Y100" s="96">
        <v>9904</v>
      </c>
      <c r="AH100" s="99">
        <v>80</v>
      </c>
      <c r="AI100" s="113" t="s">
        <v>4539</v>
      </c>
      <c r="AJ100" s="113">
        <v>-1750148</v>
      </c>
      <c r="AK100" s="99">
        <v>1</v>
      </c>
      <c r="AL100" s="99">
        <f t="shared" si="34"/>
        <v>401</v>
      </c>
      <c r="AM100" s="117">
        <f t="shared" si="11"/>
        <v>-701809348</v>
      </c>
      <c r="AN100" s="99"/>
    </row>
    <row r="101" spans="4:47">
      <c r="D101" s="2" t="s">
        <v>328</v>
      </c>
      <c r="E101" s="3">
        <f>E100/30</f>
        <v>112777.76666666666</v>
      </c>
      <c r="F101" s="96"/>
      <c r="G101" s="96"/>
      <c r="H101" s="96"/>
      <c r="I101" s="96"/>
      <c r="J101" s="96"/>
      <c r="K101" s="96"/>
      <c r="M101" t="s">
        <v>4519</v>
      </c>
      <c r="Q101" s="35">
        <v>1971103</v>
      </c>
      <c r="R101" s="5" t="s">
        <v>4402</v>
      </c>
      <c r="S101" s="5">
        <f>S100-1</f>
        <v>469</v>
      </c>
      <c r="T101" s="5" t="s">
        <v>4403</v>
      </c>
      <c r="U101" s="168">
        <v>196.2</v>
      </c>
      <c r="V101" s="99">
        <f t="shared" si="31"/>
        <v>269.77123726027401</v>
      </c>
      <c r="W101" s="32">
        <f t="shared" si="32"/>
        <v>275.16666200547951</v>
      </c>
      <c r="X101" s="32">
        <f t="shared" si="33"/>
        <v>280.56208675068495</v>
      </c>
      <c r="Y101" s="96">
        <v>0</v>
      </c>
      <c r="AH101" s="99">
        <v>81</v>
      </c>
      <c r="AI101" s="113" t="s">
        <v>4542</v>
      </c>
      <c r="AJ101" s="113">
        <v>400000</v>
      </c>
      <c r="AK101" s="99">
        <v>0</v>
      </c>
      <c r="AL101" s="99">
        <f t="shared" si="34"/>
        <v>400</v>
      </c>
      <c r="AM101" s="117">
        <f t="shared" si="11"/>
        <v>160000000</v>
      </c>
      <c r="AN101" s="99"/>
    </row>
    <row r="102" spans="4:47">
      <c r="F102" s="96"/>
      <c r="G102" s="96"/>
      <c r="H102" s="96"/>
      <c r="I102" s="96"/>
      <c r="J102" s="96"/>
      <c r="K102" s="96"/>
      <c r="M102" t="s">
        <v>4522</v>
      </c>
      <c r="Q102" s="35">
        <v>1049856</v>
      </c>
      <c r="R102" s="5" t="s">
        <v>4422</v>
      </c>
      <c r="S102" s="5">
        <f>S101-6</f>
        <v>463</v>
      </c>
      <c r="T102" s="5" t="s">
        <v>4460</v>
      </c>
      <c r="U102" s="168">
        <v>184.5</v>
      </c>
      <c r="V102" s="99">
        <f t="shared" si="31"/>
        <v>252.83475616438361</v>
      </c>
      <c r="W102" s="32">
        <f t="shared" si="32"/>
        <v>257.89145128767126</v>
      </c>
      <c r="X102" s="32">
        <f t="shared" si="33"/>
        <v>262.94814641095894</v>
      </c>
      <c r="Y102" s="96">
        <v>0</v>
      </c>
      <c r="AH102" s="99">
        <v>82</v>
      </c>
      <c r="AI102" s="113" t="s">
        <v>4542</v>
      </c>
      <c r="AJ102" s="113">
        <v>-2105421</v>
      </c>
      <c r="AK102" s="99">
        <v>1</v>
      </c>
      <c r="AL102" s="99">
        <f t="shared" si="34"/>
        <v>400</v>
      </c>
      <c r="AM102" s="117">
        <f t="shared" si="11"/>
        <v>-842168400</v>
      </c>
      <c r="AN102" s="99"/>
      <c r="AO102" t="s">
        <v>25</v>
      </c>
    </row>
    <row r="103" spans="4:47">
      <c r="F103" s="96"/>
      <c r="G103" s="96"/>
      <c r="H103" s="96"/>
      <c r="I103" s="96"/>
      <c r="J103" s="96"/>
      <c r="K103" s="96"/>
      <c r="M103" t="s">
        <v>4523</v>
      </c>
      <c r="Q103" s="35">
        <v>1783234</v>
      </c>
      <c r="R103" s="5" t="s">
        <v>4424</v>
      </c>
      <c r="S103" s="5">
        <f>S102-2</f>
        <v>461</v>
      </c>
      <c r="T103" s="5" t="s">
        <v>4425</v>
      </c>
      <c r="U103" s="168">
        <v>177.5</v>
      </c>
      <c r="V103" s="99">
        <f t="shared" si="31"/>
        <v>242.96978082191785</v>
      </c>
      <c r="W103" s="32">
        <f t="shared" si="32"/>
        <v>247.8291764383562</v>
      </c>
      <c r="X103" s="32">
        <f t="shared" si="33"/>
        <v>252.68857205479458</v>
      </c>
      <c r="Y103" s="96">
        <v>10000</v>
      </c>
      <c r="AH103" s="99">
        <v>83</v>
      </c>
      <c r="AI103" s="113" t="s">
        <v>4545</v>
      </c>
      <c r="AJ103" s="113">
        <v>-5527618</v>
      </c>
      <c r="AK103" s="99">
        <v>0</v>
      </c>
      <c r="AL103" s="99">
        <f t="shared" si="34"/>
        <v>399</v>
      </c>
      <c r="AM103" s="117">
        <f t="shared" si="11"/>
        <v>-2205519582</v>
      </c>
      <c r="AN103" s="99"/>
    </row>
    <row r="104" spans="4:47">
      <c r="F104" s="96"/>
      <c r="G104" s="96"/>
      <c r="H104" s="96"/>
      <c r="I104" s="96"/>
      <c r="J104" s="96"/>
      <c r="K104" s="96"/>
      <c r="M104" s="96"/>
      <c r="N104" s="96"/>
      <c r="Q104" s="35">
        <v>1662335</v>
      </c>
      <c r="R104" s="5" t="s">
        <v>4428</v>
      </c>
      <c r="S104" s="5">
        <f>S103-5</f>
        <v>456</v>
      </c>
      <c r="T104" s="218" t="s">
        <v>4574</v>
      </c>
      <c r="U104" s="168">
        <v>190.3</v>
      </c>
      <c r="V104" s="99">
        <f t="shared" si="31"/>
        <v>259.76106410958909</v>
      </c>
      <c r="W104" s="32">
        <f t="shared" si="32"/>
        <v>264.95628539178085</v>
      </c>
      <c r="X104" s="32">
        <f t="shared" si="33"/>
        <v>270.15150667397268</v>
      </c>
      <c r="Y104" s="96">
        <v>5664</v>
      </c>
      <c r="AH104" s="99">
        <v>84</v>
      </c>
      <c r="AI104" s="113" t="s">
        <v>4545</v>
      </c>
      <c r="AJ104" s="113">
        <v>3900000</v>
      </c>
      <c r="AK104" s="99">
        <v>3</v>
      </c>
      <c r="AL104" s="99">
        <f t="shared" si="34"/>
        <v>399</v>
      </c>
      <c r="AM104" s="117">
        <f t="shared" si="11"/>
        <v>1556100000</v>
      </c>
      <c r="AN104" s="99"/>
    </row>
    <row r="105" spans="4:47">
      <c r="F105" s="96"/>
      <c r="G105" s="96"/>
      <c r="H105" s="96"/>
      <c r="I105" s="96"/>
      <c r="J105" s="96"/>
      <c r="K105" s="96"/>
      <c r="L105" s="96"/>
      <c r="M105" s="96"/>
      <c r="N105" s="96"/>
      <c r="Q105" s="35">
        <v>2272487</v>
      </c>
      <c r="R105" s="5" t="s">
        <v>4584</v>
      </c>
      <c r="S105" s="5">
        <f>S104-42</f>
        <v>414</v>
      </c>
      <c r="T105" s="5" t="s">
        <v>4585</v>
      </c>
      <c r="U105" s="168">
        <v>174.9</v>
      </c>
      <c r="V105" s="99">
        <f t="shared" si="31"/>
        <v>233.10480328767125</v>
      </c>
      <c r="W105" s="32">
        <f t="shared" si="32"/>
        <v>237.76689935342466</v>
      </c>
      <c r="X105" s="32">
        <f t="shared" si="33"/>
        <v>242.42899541917811</v>
      </c>
      <c r="Y105" s="96">
        <v>10000</v>
      </c>
      <c r="AH105" s="99">
        <v>85</v>
      </c>
      <c r="AI105" s="113" t="s">
        <v>4546</v>
      </c>
      <c r="AJ105" s="113">
        <v>-3969754</v>
      </c>
      <c r="AK105" s="99">
        <v>1</v>
      </c>
      <c r="AL105" s="99">
        <f t="shared" si="34"/>
        <v>396</v>
      </c>
      <c r="AM105" s="117">
        <f t="shared" si="11"/>
        <v>-1572022584</v>
      </c>
      <c r="AN105" s="99"/>
    </row>
    <row r="106" spans="4:47">
      <c r="F106" s="96"/>
      <c r="G106" s="96"/>
      <c r="H106" s="96"/>
      <c r="I106" s="96"/>
      <c r="J106" s="96"/>
      <c r="K106" s="96"/>
      <c r="L106" s="96"/>
      <c r="Q106" s="35">
        <v>3975257</v>
      </c>
      <c r="R106" s="5" t="s">
        <v>4589</v>
      </c>
      <c r="S106" s="5">
        <f>S105-1</f>
        <v>413</v>
      </c>
      <c r="T106" s="5" t="s">
        <v>4590</v>
      </c>
      <c r="U106" s="168">
        <v>173</v>
      </c>
      <c r="V106" s="99">
        <f t="shared" si="31"/>
        <v>230.43979178082193</v>
      </c>
      <c r="W106" s="32">
        <f t="shared" si="32"/>
        <v>235.04858761643837</v>
      </c>
      <c r="X106" s="32">
        <f t="shared" si="33"/>
        <v>239.65738345205483</v>
      </c>
      <c r="Y106" s="96">
        <v>8695</v>
      </c>
      <c r="AA106" t="s">
        <v>25</v>
      </c>
      <c r="AH106" s="99">
        <v>86</v>
      </c>
      <c r="AI106" s="113" t="s">
        <v>4556</v>
      </c>
      <c r="AJ106" s="113">
        <v>-25574455</v>
      </c>
      <c r="AK106" s="99">
        <v>0</v>
      </c>
      <c r="AL106" s="99">
        <f t="shared" si="34"/>
        <v>395</v>
      </c>
      <c r="AM106" s="117">
        <f t="shared" si="11"/>
        <v>-10101909725</v>
      </c>
      <c r="AN106" s="99"/>
      <c r="AP106" t="s">
        <v>25</v>
      </c>
    </row>
    <row r="107" spans="4:47">
      <c r="F107" s="96"/>
      <c r="G107" s="96"/>
      <c r="H107" s="96" t="s">
        <v>25</v>
      </c>
      <c r="I107" s="96"/>
      <c r="J107" s="96"/>
      <c r="K107" s="96"/>
      <c r="M107" t="s">
        <v>5291</v>
      </c>
      <c r="P107" t="s">
        <v>25</v>
      </c>
      <c r="Q107" s="35">
        <v>1031662</v>
      </c>
      <c r="R107" s="5" t="s">
        <v>4224</v>
      </c>
      <c r="S107" s="5">
        <f>S106-1</f>
        <v>412</v>
      </c>
      <c r="T107" s="5" t="s">
        <v>4593</v>
      </c>
      <c r="U107" s="168">
        <v>171.2</v>
      </c>
      <c r="V107" s="99">
        <f t="shared" si="31"/>
        <v>227.91082082191778</v>
      </c>
      <c r="W107" s="32">
        <f t="shared" si="32"/>
        <v>232.46903723835615</v>
      </c>
      <c r="X107" s="32">
        <f t="shared" si="33"/>
        <v>237.02725365479449</v>
      </c>
      <c r="Y107" s="96"/>
      <c r="AA107" t="s">
        <v>25</v>
      </c>
      <c r="AH107" s="99">
        <v>87</v>
      </c>
      <c r="AI107" s="113" t="s">
        <v>4556</v>
      </c>
      <c r="AJ107" s="113">
        <v>4000000</v>
      </c>
      <c r="AK107" s="99">
        <v>1</v>
      </c>
      <c r="AL107" s="99">
        <f t="shared" si="34"/>
        <v>395</v>
      </c>
      <c r="AM107" s="117">
        <f t="shared" si="11"/>
        <v>1580000000</v>
      </c>
      <c r="AN107" s="99"/>
    </row>
    <row r="108" spans="4:47">
      <c r="F108" s="96"/>
      <c r="G108" s="96"/>
      <c r="H108" s="96" t="s">
        <v>25</v>
      </c>
      <c r="I108" s="96"/>
      <c r="J108" s="96"/>
      <c r="K108" s="96" t="s">
        <v>25</v>
      </c>
      <c r="M108" t="s">
        <v>5297</v>
      </c>
      <c r="P108" s="115"/>
      <c r="Q108" s="35">
        <v>577500</v>
      </c>
      <c r="R108" s="5" t="s">
        <v>4224</v>
      </c>
      <c r="S108" s="5">
        <f>S107</f>
        <v>412</v>
      </c>
      <c r="T108" s="5" t="s">
        <v>4597</v>
      </c>
      <c r="U108" s="168">
        <v>175</v>
      </c>
      <c r="V108" s="99">
        <f t="shared" si="31"/>
        <v>232.9695890410959</v>
      </c>
      <c r="W108" s="32">
        <f t="shared" si="32"/>
        <v>237.62898082191782</v>
      </c>
      <c r="X108" s="32">
        <f t="shared" si="33"/>
        <v>242.28837260273974</v>
      </c>
      <c r="Y108" s="96"/>
      <c r="AH108" s="99">
        <v>88</v>
      </c>
      <c r="AI108" s="113" t="s">
        <v>991</v>
      </c>
      <c r="AJ108" s="113">
        <v>-5000000</v>
      </c>
      <c r="AK108" s="99">
        <v>2</v>
      </c>
      <c r="AL108" s="99">
        <f t="shared" si="34"/>
        <v>394</v>
      </c>
      <c r="AM108" s="117">
        <f t="shared" si="11"/>
        <v>-1970000000</v>
      </c>
      <c r="AN108" s="99"/>
    </row>
    <row r="109" spans="4:47">
      <c r="F109" s="96"/>
      <c r="G109" s="96"/>
      <c r="H109" s="96"/>
      <c r="I109" s="96"/>
      <c r="J109" s="96"/>
      <c r="K109" s="96" t="s">
        <v>25</v>
      </c>
      <c r="L109" t="s">
        <v>25</v>
      </c>
      <c r="P109" s="128"/>
      <c r="Q109" s="35">
        <v>12636487</v>
      </c>
      <c r="R109" s="5" t="s">
        <v>3687</v>
      </c>
      <c r="S109" s="5">
        <f>S108-2</f>
        <v>410</v>
      </c>
      <c r="T109" s="5" t="s">
        <v>4600</v>
      </c>
      <c r="U109" s="168">
        <v>172.1</v>
      </c>
      <c r="V109" s="99">
        <f t="shared" si="31"/>
        <v>228.84490630136989</v>
      </c>
      <c r="W109" s="32">
        <f t="shared" si="32"/>
        <v>233.42180442739729</v>
      </c>
      <c r="X109" s="32">
        <f t="shared" si="33"/>
        <v>237.99870255342469</v>
      </c>
      <c r="Y109" s="96"/>
      <c r="AD109" s="96"/>
      <c r="AE109"/>
      <c r="AF109"/>
      <c r="AH109" s="99">
        <v>89</v>
      </c>
      <c r="AI109" s="113" t="s">
        <v>4561</v>
      </c>
      <c r="AJ109" s="113">
        <v>10000000</v>
      </c>
      <c r="AK109" s="99">
        <v>4</v>
      </c>
      <c r="AL109" s="99">
        <f t="shared" si="34"/>
        <v>392</v>
      </c>
      <c r="AM109" s="117">
        <f t="shared" si="11"/>
        <v>3920000000</v>
      </c>
      <c r="AN109" s="99"/>
    </row>
    <row r="110" spans="4:47">
      <c r="F110" s="96"/>
      <c r="G110" s="96"/>
      <c r="H110" s="96"/>
      <c r="I110" s="96" t="s">
        <v>25</v>
      </c>
      <c r="J110" s="96" t="s">
        <v>25</v>
      </c>
      <c r="K110" s="96" t="s">
        <v>25</v>
      </c>
      <c r="P110" s="128"/>
      <c r="Q110" s="39">
        <v>11121445</v>
      </c>
      <c r="R110" s="5" t="s">
        <v>4603</v>
      </c>
      <c r="S110" s="5">
        <f>S109-3</f>
        <v>407</v>
      </c>
      <c r="T110" s="5" t="s">
        <v>4772</v>
      </c>
      <c r="U110" s="168">
        <v>171.8</v>
      </c>
      <c r="V110" s="99">
        <f t="shared" si="31"/>
        <v>228.05061479452061</v>
      </c>
      <c r="W110" s="32">
        <f t="shared" si="32"/>
        <v>232.61162709041102</v>
      </c>
      <c r="X110" s="32">
        <f t="shared" si="33"/>
        <v>237.17263938630146</v>
      </c>
      <c r="AH110" s="99">
        <v>90</v>
      </c>
      <c r="AI110" s="113" t="s">
        <v>4563</v>
      </c>
      <c r="AJ110" s="113">
        <v>-5241937</v>
      </c>
      <c r="AK110" s="99">
        <v>0</v>
      </c>
      <c r="AL110" s="99">
        <f t="shared" si="34"/>
        <v>388</v>
      </c>
      <c r="AM110" s="117">
        <f t="shared" si="11"/>
        <v>-2033871556</v>
      </c>
      <c r="AN110" s="99"/>
    </row>
    <row r="111" spans="4:47">
      <c r="F111" s="96"/>
      <c r="G111" s="96"/>
      <c r="H111" s="96"/>
      <c r="I111" s="96"/>
      <c r="J111" s="96"/>
      <c r="K111" s="96" t="s">
        <v>25</v>
      </c>
      <c r="M111" s="96"/>
      <c r="N111" s="96"/>
      <c r="P111" s="115"/>
      <c r="Q111" s="35">
        <v>9884960.0867370963</v>
      </c>
      <c r="R111" s="5" t="s">
        <v>4613</v>
      </c>
      <c r="S111" s="5">
        <f>S110-3</f>
        <v>404</v>
      </c>
      <c r="T111" s="5" t="s">
        <v>5531</v>
      </c>
      <c r="U111" s="168">
        <v>498.9</v>
      </c>
      <c r="V111" s="99">
        <f t="shared" si="31"/>
        <v>661.10127452054792</v>
      </c>
      <c r="W111" s="32">
        <f t="shared" ref="W111:W127" si="35">V111*(1+$W$19/100)</f>
        <v>674.32330001095886</v>
      </c>
      <c r="X111" s="32">
        <f t="shared" ref="X111:X127" si="36">V111*(1+$X$19/100)</f>
        <v>687.5453255013698</v>
      </c>
      <c r="AH111" s="99">
        <v>91</v>
      </c>
      <c r="AI111" s="113" t="s">
        <v>4563</v>
      </c>
      <c r="AJ111" s="113">
        <v>21900000</v>
      </c>
      <c r="AK111" s="99">
        <v>2</v>
      </c>
      <c r="AL111" s="99">
        <f t="shared" si="34"/>
        <v>388</v>
      </c>
      <c r="AM111" s="117">
        <f t="shared" si="11"/>
        <v>8497200000</v>
      </c>
      <c r="AN111" s="99"/>
      <c r="AP111" t="s">
        <v>25</v>
      </c>
      <c r="AU111"/>
    </row>
    <row r="112" spans="4:47">
      <c r="F112" s="96"/>
      <c r="G112" s="96"/>
      <c r="H112" s="96"/>
      <c r="I112" s="96"/>
      <c r="J112" s="96"/>
      <c r="K112" s="96" t="s">
        <v>25</v>
      </c>
      <c r="L112" s="96"/>
      <c r="M112" s="96"/>
      <c r="N112" s="96"/>
      <c r="Q112" s="169">
        <v>6150141</v>
      </c>
      <c r="R112" s="213" t="s">
        <v>4847</v>
      </c>
      <c r="S112" s="213">
        <f>S111-76</f>
        <v>328</v>
      </c>
      <c r="T112" s="213" t="s">
        <v>4853</v>
      </c>
      <c r="U112" s="213">
        <v>180.6</v>
      </c>
      <c r="V112" s="99">
        <f t="shared" si="31"/>
        <v>228.78704876712328</v>
      </c>
      <c r="W112" s="32">
        <f t="shared" si="35"/>
        <v>233.36278974246576</v>
      </c>
      <c r="X112" s="32">
        <f t="shared" si="36"/>
        <v>237.93853071780822</v>
      </c>
      <c r="Y112">
        <v>13000</v>
      </c>
      <c r="AH112" s="99">
        <v>92</v>
      </c>
      <c r="AI112" s="113" t="s">
        <v>4571</v>
      </c>
      <c r="AJ112" s="113">
        <v>-15000000</v>
      </c>
      <c r="AK112" s="99">
        <v>0</v>
      </c>
      <c r="AL112" s="99">
        <f t="shared" si="34"/>
        <v>386</v>
      </c>
      <c r="AM112" s="117">
        <f t="shared" si="11"/>
        <v>-5790000000</v>
      </c>
      <c r="AN112" s="99"/>
      <c r="AO112" t="s">
        <v>25</v>
      </c>
    </row>
    <row r="113" spans="6:46">
      <c r="F113" s="96"/>
      <c r="G113" s="96"/>
      <c r="H113" s="96"/>
      <c r="I113" s="96"/>
      <c r="J113" s="96" t="s">
        <v>25</v>
      </c>
      <c r="K113" s="96"/>
      <c r="L113" s="96"/>
      <c r="M113" s="96"/>
      <c r="N113" s="96"/>
      <c r="Q113" s="169">
        <v>1399908</v>
      </c>
      <c r="R113" s="213" t="s">
        <v>4915</v>
      </c>
      <c r="S113" s="213">
        <f>S112-20</f>
        <v>308</v>
      </c>
      <c r="T113" s="213" t="s">
        <v>4916</v>
      </c>
      <c r="U113" s="213">
        <v>194</v>
      </c>
      <c r="V113" s="99">
        <f t="shared" si="31"/>
        <v>242.78595068493152</v>
      </c>
      <c r="W113" s="32">
        <f t="shared" si="35"/>
        <v>247.64166969863015</v>
      </c>
      <c r="X113" s="32">
        <f t="shared" si="36"/>
        <v>252.49738871232879</v>
      </c>
      <c r="Y113" t="s">
        <v>25</v>
      </c>
      <c r="AH113" s="99">
        <v>93</v>
      </c>
      <c r="AI113" s="113" t="s">
        <v>4571</v>
      </c>
      <c r="AJ113" s="113">
        <v>3000000</v>
      </c>
      <c r="AK113" s="99">
        <v>1</v>
      </c>
      <c r="AL113" s="99">
        <f t="shared" si="34"/>
        <v>386</v>
      </c>
      <c r="AM113" s="117">
        <f t="shared" si="11"/>
        <v>1158000000</v>
      </c>
      <c r="AN113" s="99"/>
    </row>
    <row r="114" spans="6:46">
      <c r="F114" s="96"/>
      <c r="G114" s="96"/>
      <c r="H114" s="96"/>
      <c r="I114" s="96"/>
      <c r="J114" s="96" t="s">
        <v>25</v>
      </c>
      <c r="K114" t="s">
        <v>25</v>
      </c>
      <c r="L114" s="96"/>
      <c r="M114" s="96"/>
      <c r="N114" s="96"/>
      <c r="Q114" s="169">
        <v>1204033</v>
      </c>
      <c r="R114" s="213" t="s">
        <v>4925</v>
      </c>
      <c r="S114" s="213">
        <f>S113-7</f>
        <v>301</v>
      </c>
      <c r="T114" s="213" t="s">
        <v>4928</v>
      </c>
      <c r="U114" s="213">
        <v>218.5</v>
      </c>
      <c r="V114" s="99">
        <f t="shared" si="31"/>
        <v>272.27374794520551</v>
      </c>
      <c r="W114" s="32">
        <f t="shared" si="35"/>
        <v>277.71922290410964</v>
      </c>
      <c r="X114" s="32">
        <f t="shared" si="36"/>
        <v>283.16469786301377</v>
      </c>
      <c r="Y114" t="s">
        <v>25</v>
      </c>
      <c r="AH114" s="99">
        <v>94</v>
      </c>
      <c r="AI114" s="113" t="s">
        <v>4575</v>
      </c>
      <c r="AJ114" s="113">
        <v>-2103736</v>
      </c>
      <c r="AK114" s="99">
        <v>0</v>
      </c>
      <c r="AL114" s="99">
        <f t="shared" si="34"/>
        <v>385</v>
      </c>
      <c r="AM114" s="117">
        <f t="shared" si="11"/>
        <v>-809938360</v>
      </c>
      <c r="AN114" s="99"/>
    </row>
    <row r="115" spans="6:46">
      <c r="J115" t="s">
        <v>25</v>
      </c>
      <c r="Q115" s="169">
        <v>8382674</v>
      </c>
      <c r="R115" s="213" t="s">
        <v>4935</v>
      </c>
      <c r="S115" s="213">
        <f>S114-7</f>
        <v>294</v>
      </c>
      <c r="T115" s="213" t="s">
        <v>4941</v>
      </c>
      <c r="U115" s="213">
        <v>192</v>
      </c>
      <c r="V115" s="99">
        <f t="shared" si="31"/>
        <v>238.22097534246578</v>
      </c>
      <c r="W115" s="32">
        <f t="shared" si="35"/>
        <v>242.9853948493151</v>
      </c>
      <c r="X115" s="32">
        <f t="shared" si="36"/>
        <v>247.74981435616442</v>
      </c>
      <c r="AH115" s="99">
        <v>95</v>
      </c>
      <c r="AI115" s="113" t="s">
        <v>4575</v>
      </c>
      <c r="AJ115" s="113">
        <v>220000</v>
      </c>
      <c r="AK115" s="99">
        <v>3</v>
      </c>
      <c r="AL115" s="99">
        <f t="shared" si="34"/>
        <v>385</v>
      </c>
      <c r="AM115" s="117">
        <f t="shared" si="11"/>
        <v>84700000</v>
      </c>
      <c r="AN115" s="99"/>
      <c r="AR115" s="96"/>
      <c r="AS115" s="96"/>
      <c r="AT115"/>
    </row>
    <row r="116" spans="6:46">
      <c r="Q116" s="169">
        <v>190884649</v>
      </c>
      <c r="R116" s="213" t="s">
        <v>4954</v>
      </c>
      <c r="S116" s="213">
        <f>S115-9</f>
        <v>285</v>
      </c>
      <c r="T116" s="213" t="s">
        <v>4957</v>
      </c>
      <c r="U116" s="213">
        <v>193.6</v>
      </c>
      <c r="V116" s="99">
        <f t="shared" si="31"/>
        <v>238.86951452054794</v>
      </c>
      <c r="W116" s="32">
        <f t="shared" si="35"/>
        <v>243.64690481095889</v>
      </c>
      <c r="X116" s="32">
        <f t="shared" si="36"/>
        <v>248.42429510136986</v>
      </c>
      <c r="Y116">
        <v>23000</v>
      </c>
      <c r="AH116" s="99">
        <v>96</v>
      </c>
      <c r="AI116" s="113" t="s">
        <v>4584</v>
      </c>
      <c r="AJ116" s="113">
        <v>4000000</v>
      </c>
      <c r="AK116" s="99">
        <v>1</v>
      </c>
      <c r="AL116" s="99">
        <f t="shared" si="34"/>
        <v>382</v>
      </c>
      <c r="AM116" s="117">
        <f t="shared" si="11"/>
        <v>1528000000</v>
      </c>
      <c r="AN116" s="99"/>
    </row>
    <row r="117" spans="6:46">
      <c r="F117" s="213" t="s">
        <v>4667</v>
      </c>
      <c r="G117" s="213" t="s">
        <v>938</v>
      </c>
      <c r="H117" s="213" t="s">
        <v>4658</v>
      </c>
      <c r="I117" s="213" t="s">
        <v>4657</v>
      </c>
      <c r="J117" s="32" t="s">
        <v>4524</v>
      </c>
      <c r="K117" s="213" t="s">
        <v>4651</v>
      </c>
      <c r="L117" s="32" t="s">
        <v>4653</v>
      </c>
      <c r="M117" s="32" t="s">
        <v>4628</v>
      </c>
      <c r="N117" s="213" t="s">
        <v>4629</v>
      </c>
      <c r="Q117" s="169">
        <v>2099962</v>
      </c>
      <c r="R117" s="213" t="s">
        <v>4956</v>
      </c>
      <c r="S117" s="213">
        <f>S116-1</f>
        <v>284</v>
      </c>
      <c r="T117" s="213" t="s">
        <v>4960</v>
      </c>
      <c r="U117" s="213">
        <v>196.5</v>
      </c>
      <c r="V117" s="99">
        <f t="shared" si="31"/>
        <v>242.29688219178084</v>
      </c>
      <c r="W117" s="32">
        <f t="shared" si="35"/>
        <v>247.14281983561645</v>
      </c>
      <c r="X117" s="32">
        <f t="shared" si="36"/>
        <v>251.98875747945209</v>
      </c>
      <c r="Y117">
        <v>6000</v>
      </c>
      <c r="AH117" s="99">
        <v>97</v>
      </c>
      <c r="AI117" s="113" t="s">
        <v>4589</v>
      </c>
      <c r="AJ117" s="113">
        <v>-9000000</v>
      </c>
      <c r="AK117" s="99">
        <v>0</v>
      </c>
      <c r="AL117" s="99">
        <f t="shared" si="34"/>
        <v>381</v>
      </c>
      <c r="AM117" s="117">
        <f t="shared" si="11"/>
        <v>-3429000000</v>
      </c>
      <c r="AN117" s="99"/>
      <c r="AP117" t="s">
        <v>25</v>
      </c>
    </row>
    <row r="118" spans="6:46">
      <c r="F118" s="199">
        <f>$L$127/G118</f>
        <v>11607.82080485953</v>
      </c>
      <c r="G118" s="199">
        <f>P63</f>
        <v>526.79999999999995</v>
      </c>
      <c r="H118" s="199" t="s">
        <v>4762</v>
      </c>
      <c r="I118" s="199" t="s">
        <v>5438</v>
      </c>
      <c r="J118" s="214" t="s">
        <v>4233</v>
      </c>
      <c r="K118" s="199">
        <v>200</v>
      </c>
      <c r="L118" s="215">
        <f t="shared" ref="L118:L124" si="37">K118*$L$127</f>
        <v>1223000000</v>
      </c>
      <c r="M118" s="215">
        <f>N21+N38+N63+N51</f>
        <v>2646587886</v>
      </c>
      <c r="N118" s="183">
        <f>L118-M118</f>
        <v>-1423587886</v>
      </c>
      <c r="O118">
        <f>M118/P63</f>
        <v>5023895</v>
      </c>
      <c r="P118" s="1">
        <f>O118*50</f>
        <v>251194750</v>
      </c>
      <c r="Q118" s="169">
        <v>130756</v>
      </c>
      <c r="R118" s="213" t="s">
        <v>4961</v>
      </c>
      <c r="S118" s="213">
        <f>S117-1</f>
        <v>283</v>
      </c>
      <c r="T118" s="213" t="s">
        <v>4962</v>
      </c>
      <c r="U118" s="213">
        <v>197.8</v>
      </c>
      <c r="V118" s="99">
        <f t="shared" si="31"/>
        <v>243.74812712328767</v>
      </c>
      <c r="W118" s="32">
        <f t="shared" si="35"/>
        <v>248.62308966575344</v>
      </c>
      <c r="X118" s="32">
        <f t="shared" si="36"/>
        <v>253.49805220821918</v>
      </c>
      <c r="AH118" s="99">
        <v>98</v>
      </c>
      <c r="AI118" s="113" t="s">
        <v>4589</v>
      </c>
      <c r="AJ118" s="113">
        <v>13900000</v>
      </c>
      <c r="AK118" s="99">
        <v>2</v>
      </c>
      <c r="AL118" s="99">
        <f t="shared" si="34"/>
        <v>381</v>
      </c>
      <c r="AM118" s="117">
        <f t="shared" si="11"/>
        <v>5295900000</v>
      </c>
      <c r="AN118" s="99"/>
    </row>
    <row r="119" spans="6:46">
      <c r="F119" s="213">
        <v>0</v>
      </c>
      <c r="G119" s="213">
        <v>0</v>
      </c>
      <c r="H119" s="213" t="s">
        <v>4929</v>
      </c>
      <c r="I119" s="213" t="s">
        <v>5439</v>
      </c>
      <c r="J119" s="32" t="s">
        <v>4383</v>
      </c>
      <c r="K119" s="213">
        <v>23</v>
      </c>
      <c r="L119" s="1">
        <f t="shared" si="37"/>
        <v>140645000</v>
      </c>
      <c r="M119" s="1">
        <f>N62+N31</f>
        <v>129421929.49999999</v>
      </c>
      <c r="N119" s="113">
        <f t="shared" ref="N119:N124" si="38">L119-M119</f>
        <v>11223070.500000015</v>
      </c>
      <c r="O119">
        <f>M119/P62</f>
        <v>14915</v>
      </c>
      <c r="P119" s="1">
        <f>O119*1300</f>
        <v>19389500</v>
      </c>
      <c r="Q119" s="169">
        <v>795874</v>
      </c>
      <c r="R119" s="213" t="s">
        <v>4973</v>
      </c>
      <c r="S119" s="213">
        <f>S118-6</f>
        <v>277</v>
      </c>
      <c r="T119" s="213" t="s">
        <v>4974</v>
      </c>
      <c r="U119" s="213">
        <v>198.1</v>
      </c>
      <c r="V119" s="99">
        <f t="shared" si="31"/>
        <v>243.20601315068492</v>
      </c>
      <c r="W119" s="32">
        <f t="shared" si="35"/>
        <v>248.07013341369861</v>
      </c>
      <c r="X119" s="32">
        <f t="shared" si="36"/>
        <v>252.93425367671233</v>
      </c>
      <c r="Y119">
        <v>3300</v>
      </c>
      <c r="AH119" s="99">
        <v>99</v>
      </c>
      <c r="AI119" s="113" t="s">
        <v>4598</v>
      </c>
      <c r="AJ119" s="113">
        <v>-8127577</v>
      </c>
      <c r="AK119" s="99">
        <v>1</v>
      </c>
      <c r="AL119" s="99">
        <f t="shared" si="34"/>
        <v>379</v>
      </c>
      <c r="AM119" s="117">
        <f t="shared" si="11"/>
        <v>-3080351683</v>
      </c>
      <c r="AN119" s="99"/>
      <c r="AO119" t="s">
        <v>25</v>
      </c>
      <c r="AQ119" t="s">
        <v>25</v>
      </c>
    </row>
    <row r="120" spans="6:46">
      <c r="F120" s="199">
        <v>0</v>
      </c>
      <c r="G120" s="199">
        <v>0</v>
      </c>
      <c r="H120" s="199" t="s">
        <v>5074</v>
      </c>
      <c r="I120" s="199" t="s">
        <v>5440</v>
      </c>
      <c r="J120" s="214" t="s">
        <v>4379</v>
      </c>
      <c r="K120" s="199">
        <v>0</v>
      </c>
      <c r="L120" s="215">
        <f t="shared" si="37"/>
        <v>0</v>
      </c>
      <c r="M120" s="215">
        <f>0</f>
        <v>0</v>
      </c>
      <c r="N120" s="183">
        <f t="shared" si="38"/>
        <v>0</v>
      </c>
      <c r="O120">
        <v>0</v>
      </c>
      <c r="P120" s="1">
        <f>O120*1300</f>
        <v>0</v>
      </c>
      <c r="Q120" s="169">
        <v>400348</v>
      </c>
      <c r="R120" s="213" t="s">
        <v>4976</v>
      </c>
      <c r="S120" s="213">
        <f>S119-1</f>
        <v>276</v>
      </c>
      <c r="T120" s="213" t="s">
        <v>4978</v>
      </c>
      <c r="U120" s="213">
        <v>199.3</v>
      </c>
      <c r="V120" s="99">
        <f t="shared" si="31"/>
        <v>244.52635726027401</v>
      </c>
      <c r="W120" s="32">
        <f t="shared" si="35"/>
        <v>249.41688440547949</v>
      </c>
      <c r="X120" s="32">
        <f t="shared" si="36"/>
        <v>254.30741155068498</v>
      </c>
      <c r="AH120" s="99">
        <v>100</v>
      </c>
      <c r="AI120" s="113" t="s">
        <v>3687</v>
      </c>
      <c r="AJ120" s="113">
        <v>15792549</v>
      </c>
      <c r="AK120" s="99">
        <v>3</v>
      </c>
      <c r="AL120" s="99">
        <f t="shared" si="34"/>
        <v>378</v>
      </c>
      <c r="AM120" s="117">
        <f t="shared" si="11"/>
        <v>5969583522</v>
      </c>
      <c r="AN120" s="99"/>
      <c r="AO120" t="s">
        <v>25</v>
      </c>
      <c r="AP120" t="s">
        <v>25</v>
      </c>
    </row>
    <row r="121" spans="6:46">
      <c r="F121" s="213">
        <f>$L$127/G121</f>
        <v>3975.1673925762207</v>
      </c>
      <c r="G121" s="213">
        <f>P53</f>
        <v>1538.3</v>
      </c>
      <c r="H121" s="213" t="s">
        <v>4659</v>
      </c>
      <c r="I121" s="213" t="s">
        <v>5437</v>
      </c>
      <c r="J121" s="32" t="s">
        <v>4397</v>
      </c>
      <c r="K121" s="213">
        <v>20</v>
      </c>
      <c r="L121" s="1">
        <f t="shared" si="37"/>
        <v>122300000</v>
      </c>
      <c r="M121" s="1">
        <f>N53+N28</f>
        <v>144864787.59999999</v>
      </c>
      <c r="N121" s="113">
        <f t="shared" si="38"/>
        <v>-22564787.599999994</v>
      </c>
      <c r="O121">
        <f>M121/P53</f>
        <v>94172</v>
      </c>
      <c r="P121" s="1">
        <f>O121*150</f>
        <v>14125800</v>
      </c>
      <c r="Q121" s="169">
        <v>5896463</v>
      </c>
      <c r="R121" s="213" t="s">
        <v>4987</v>
      </c>
      <c r="S121" s="213">
        <f>S120-4</f>
        <v>272</v>
      </c>
      <c r="T121" s="213" t="s">
        <v>4988</v>
      </c>
      <c r="U121" s="213">
        <v>197.4</v>
      </c>
      <c r="V121" s="99">
        <f t="shared" si="31"/>
        <v>241.58947726027398</v>
      </c>
      <c r="W121" s="32">
        <f t="shared" si="35"/>
        <v>246.42126680547946</v>
      </c>
      <c r="X121" s="32">
        <f t="shared" si="36"/>
        <v>251.25305635068494</v>
      </c>
      <c r="AH121" s="99">
        <v>101</v>
      </c>
      <c r="AI121" s="113" t="s">
        <v>4603</v>
      </c>
      <c r="AJ121" s="113">
        <v>8800000</v>
      </c>
      <c r="AK121" s="99">
        <v>0</v>
      </c>
      <c r="AL121" s="99">
        <f t="shared" ref="AL121:AL125" si="39">AL122+AK121</f>
        <v>375</v>
      </c>
      <c r="AM121" s="117">
        <f t="shared" ref="AM121:AM144" si="40">AJ121*AL121</f>
        <v>3300000000</v>
      </c>
      <c r="AN121" s="99"/>
      <c r="AP121" t="s">
        <v>25</v>
      </c>
    </row>
    <row r="122" spans="6:46" ht="45">
      <c r="F122" s="189"/>
      <c r="G122" s="189"/>
      <c r="H122" s="189"/>
      <c r="I122" s="189"/>
      <c r="J122" s="286" t="s">
        <v>5441</v>
      </c>
      <c r="K122" s="189">
        <v>0</v>
      </c>
      <c r="L122" s="287">
        <f t="shared" si="37"/>
        <v>0</v>
      </c>
      <c r="M122" s="287">
        <f>N20+N30+N49</f>
        <v>583</v>
      </c>
      <c r="N122" s="188">
        <f>L122-M122</f>
        <v>-583</v>
      </c>
      <c r="Q122" s="169">
        <v>1499873</v>
      </c>
      <c r="R122" s="213" t="s">
        <v>5000</v>
      </c>
      <c r="S122" s="213">
        <f>S121-8</f>
        <v>264</v>
      </c>
      <c r="T122" s="213" t="s">
        <v>5001</v>
      </c>
      <c r="U122" s="213">
        <v>200.1</v>
      </c>
      <c r="V122" s="99">
        <f t="shared" si="31"/>
        <v>243.66588164383563</v>
      </c>
      <c r="W122" s="32">
        <f t="shared" si="35"/>
        <v>248.53919927671234</v>
      </c>
      <c r="X122" s="32">
        <f t="shared" si="36"/>
        <v>253.41251690958907</v>
      </c>
      <c r="Y122" t="s">
        <v>25</v>
      </c>
      <c r="AH122" s="121">
        <v>102</v>
      </c>
      <c r="AI122" s="79" t="s">
        <v>4603</v>
      </c>
      <c r="AJ122" s="79">
        <v>13071612</v>
      </c>
      <c r="AK122" s="121">
        <v>1</v>
      </c>
      <c r="AL122" s="121">
        <f t="shared" si="39"/>
        <v>375</v>
      </c>
      <c r="AM122" s="79">
        <f t="shared" si="40"/>
        <v>4901854500</v>
      </c>
      <c r="AN122" s="205" t="s">
        <v>4604</v>
      </c>
    </row>
    <row r="123" spans="6:46">
      <c r="F123" s="199"/>
      <c r="G123" s="199"/>
      <c r="H123" s="199"/>
      <c r="I123" s="199"/>
      <c r="J123" s="214" t="s">
        <v>314</v>
      </c>
      <c r="K123" s="199">
        <v>1</v>
      </c>
      <c r="L123" s="215">
        <f t="shared" si="37"/>
        <v>6115000</v>
      </c>
      <c r="M123" s="215">
        <f>N54</f>
        <v>17426400</v>
      </c>
      <c r="N123" s="183">
        <f>L123-M123</f>
        <v>-11311400</v>
      </c>
      <c r="Q123" s="169">
        <v>25141103</v>
      </c>
      <c r="R123" s="213" t="s">
        <v>5022</v>
      </c>
      <c r="S123" s="213">
        <f>S122-7</f>
        <v>257</v>
      </c>
      <c r="T123" s="213" t="s">
        <v>5025</v>
      </c>
      <c r="U123" s="213">
        <v>211.3</v>
      </c>
      <c r="V123" s="99">
        <f t="shared" si="31"/>
        <v>256.16969972602743</v>
      </c>
      <c r="W123" s="32">
        <f t="shared" si="35"/>
        <v>261.29309372054797</v>
      </c>
      <c r="X123" s="32">
        <f t="shared" si="36"/>
        <v>266.41648771506851</v>
      </c>
      <c r="Y123" t="s">
        <v>25</v>
      </c>
      <c r="AH123" s="89">
        <v>103</v>
      </c>
      <c r="AI123" s="90" t="s">
        <v>4607</v>
      </c>
      <c r="AJ123" s="90">
        <v>16727037</v>
      </c>
      <c r="AK123" s="89">
        <v>0</v>
      </c>
      <c r="AL123" s="89">
        <f t="shared" si="39"/>
        <v>374</v>
      </c>
      <c r="AM123" s="90">
        <f t="shared" si="40"/>
        <v>6255911838</v>
      </c>
      <c r="AN123" s="89" t="s">
        <v>4614</v>
      </c>
    </row>
    <row r="124" spans="6:46">
      <c r="F124" s="191"/>
      <c r="G124" s="191"/>
      <c r="H124" s="191"/>
      <c r="I124" s="191"/>
      <c r="J124" s="256" t="s">
        <v>5518</v>
      </c>
      <c r="K124" s="191">
        <v>230</v>
      </c>
      <c r="L124" s="257">
        <f t="shared" si="37"/>
        <v>1406450000</v>
      </c>
      <c r="M124" s="257">
        <v>0</v>
      </c>
      <c r="N124" s="86">
        <f t="shared" si="38"/>
        <v>1406450000</v>
      </c>
      <c r="O124" t="s">
        <v>25</v>
      </c>
      <c r="Q124" s="169">
        <v>120581</v>
      </c>
      <c r="R124" s="213" t="s">
        <v>5026</v>
      </c>
      <c r="S124" s="213">
        <f>S123-1</f>
        <v>256</v>
      </c>
      <c r="T124" s="213" t="s">
        <v>5027</v>
      </c>
      <c r="U124" s="213">
        <v>210.2</v>
      </c>
      <c r="V124" s="99">
        <f t="shared" si="31"/>
        <v>254.67486465753427</v>
      </c>
      <c r="W124" s="32">
        <f t="shared" si="35"/>
        <v>259.76836195068495</v>
      </c>
      <c r="X124" s="32">
        <f t="shared" si="36"/>
        <v>264.86185924383562</v>
      </c>
      <c r="Y124" s="122" t="s">
        <v>25</v>
      </c>
      <c r="AH124" s="99">
        <v>104</v>
      </c>
      <c r="AI124" s="113" t="s">
        <v>4607</v>
      </c>
      <c r="AJ124" s="113">
        <v>12000000</v>
      </c>
      <c r="AK124" s="99">
        <v>1</v>
      </c>
      <c r="AL124" s="99">
        <f t="shared" si="39"/>
        <v>374</v>
      </c>
      <c r="AM124" s="117">
        <f t="shared" si="40"/>
        <v>4488000000</v>
      </c>
      <c r="AN124" s="99" t="s">
        <v>4615</v>
      </c>
    </row>
    <row r="125" spans="6:46">
      <c r="F125" s="213"/>
      <c r="G125" s="213"/>
      <c r="H125" s="213"/>
      <c r="I125" s="213"/>
      <c r="J125" s="32" t="s">
        <v>4737</v>
      </c>
      <c r="K125" s="213"/>
      <c r="L125" s="1"/>
      <c r="M125" s="1"/>
      <c r="N125" s="113">
        <f>20000000-L50</f>
        <v>39229100</v>
      </c>
      <c r="Q125" s="169">
        <v>500951</v>
      </c>
      <c r="R125" s="213" t="s">
        <v>5026</v>
      </c>
      <c r="S125" s="213">
        <f>S124</f>
        <v>256</v>
      </c>
      <c r="T125" s="213" t="s">
        <v>5030</v>
      </c>
      <c r="U125" s="213">
        <v>209.6</v>
      </c>
      <c r="V125" s="99">
        <f t="shared" si="31"/>
        <v>253.94791452054795</v>
      </c>
      <c r="W125" s="32">
        <f t="shared" si="35"/>
        <v>259.02687281095893</v>
      </c>
      <c r="X125" s="32">
        <f t="shared" si="36"/>
        <v>264.10583110136986</v>
      </c>
      <c r="Z125" t="s">
        <v>25</v>
      </c>
      <c r="AH125" s="89">
        <v>105</v>
      </c>
      <c r="AI125" s="90" t="s">
        <v>4535</v>
      </c>
      <c r="AJ125" s="90">
        <v>88697667</v>
      </c>
      <c r="AK125" s="89">
        <v>1</v>
      </c>
      <c r="AL125" s="89">
        <f t="shared" si="39"/>
        <v>373</v>
      </c>
      <c r="AM125" s="90">
        <f t="shared" si="40"/>
        <v>33084229791</v>
      </c>
      <c r="AN125" s="89" t="s">
        <v>4616</v>
      </c>
      <c r="AP125" t="s">
        <v>25</v>
      </c>
    </row>
    <row r="126" spans="6:46">
      <c r="F126" s="199"/>
      <c r="G126" s="199"/>
      <c r="H126" s="199"/>
      <c r="I126" s="199"/>
      <c r="J126" s="214" t="s">
        <v>5094</v>
      </c>
      <c r="K126" s="199">
        <f>SUM(K118:K124)</f>
        <v>474</v>
      </c>
      <c r="L126" s="215"/>
      <c r="M126" s="215"/>
      <c r="N126" s="183"/>
      <c r="P126" s="114"/>
      <c r="Q126" s="169">
        <v>493081</v>
      </c>
      <c r="R126" s="213" t="s">
        <v>5033</v>
      </c>
      <c r="S126" s="213">
        <f>S125-1</f>
        <v>255</v>
      </c>
      <c r="T126" s="213" t="s">
        <v>5035</v>
      </c>
      <c r="U126" s="213">
        <v>205.1</v>
      </c>
      <c r="V126" s="99">
        <f t="shared" ref="V126:V157" si="41">U126*(1+$R$90+$Q$15*S126/36500)</f>
        <v>248.33845150684934</v>
      </c>
      <c r="W126" s="32">
        <f t="shared" si="35"/>
        <v>253.30522053698633</v>
      </c>
      <c r="X126" s="32">
        <f t="shared" si="36"/>
        <v>258.27198956712334</v>
      </c>
      <c r="Y126" t="s">
        <v>25</v>
      </c>
      <c r="AH126" s="99">
        <v>106</v>
      </c>
      <c r="AI126" s="113" t="s">
        <v>4538</v>
      </c>
      <c r="AJ126" s="113">
        <v>101000</v>
      </c>
      <c r="AK126" s="99">
        <v>0</v>
      </c>
      <c r="AL126" s="99">
        <f>AL127+AK126</f>
        <v>372</v>
      </c>
      <c r="AM126" s="117">
        <f t="shared" si="40"/>
        <v>37572000</v>
      </c>
      <c r="AN126" s="99"/>
      <c r="AQ126" t="s">
        <v>25</v>
      </c>
    </row>
    <row r="127" spans="6:46">
      <c r="F127" s="213"/>
      <c r="G127" s="213"/>
      <c r="H127" s="213" t="s">
        <v>25</v>
      </c>
      <c r="I127" s="213"/>
      <c r="J127" s="32"/>
      <c r="K127" s="213">
        <v>0</v>
      </c>
      <c r="L127" s="39">
        <f>10*P65</f>
        <v>6115000</v>
      </c>
      <c r="M127" s="1">
        <f>K127*L127</f>
        <v>0</v>
      </c>
      <c r="N127" s="113">
        <f>SUM(N118:N125)-M127</f>
        <v>-562486.09999990463</v>
      </c>
      <c r="P127" t="s">
        <v>25</v>
      </c>
      <c r="Q127" s="169">
        <v>31960868</v>
      </c>
      <c r="R127" s="213" t="s">
        <v>5037</v>
      </c>
      <c r="S127" s="213">
        <f>S126-3</f>
        <v>252</v>
      </c>
      <c r="T127" s="213" t="s">
        <v>5487</v>
      </c>
      <c r="U127" s="213">
        <v>203.6</v>
      </c>
      <c r="V127" s="99">
        <f t="shared" si="41"/>
        <v>246.05366794520549</v>
      </c>
      <c r="W127" s="32">
        <f t="shared" si="35"/>
        <v>250.97474130410961</v>
      </c>
      <c r="X127" s="32">
        <f t="shared" si="36"/>
        <v>255.89581466301371</v>
      </c>
      <c r="AH127" s="149">
        <v>107</v>
      </c>
      <c r="AI127" s="188" t="s">
        <v>4613</v>
      </c>
      <c r="AJ127" s="188">
        <v>-48200</v>
      </c>
      <c r="AK127" s="149">
        <v>0</v>
      </c>
      <c r="AL127" s="149">
        <f t="shared" ref="AL127:AL177" si="42">AL128+AK127</f>
        <v>372</v>
      </c>
      <c r="AM127" s="188">
        <f t="shared" si="40"/>
        <v>-17930400</v>
      </c>
      <c r="AN127" s="149" t="s">
        <v>4621</v>
      </c>
    </row>
    <row r="128" spans="6:46">
      <c r="F128" s="199"/>
      <c r="G128" s="199"/>
      <c r="H128" s="199"/>
      <c r="I128" s="199"/>
      <c r="J128" s="214"/>
      <c r="K128" s="243"/>
      <c r="L128" s="215" t="s">
        <v>4243</v>
      </c>
      <c r="M128" s="215" t="s">
        <v>4645</v>
      </c>
      <c r="N128" s="183" t="s">
        <v>4646</v>
      </c>
      <c r="Q128" s="169">
        <v>7032.8</v>
      </c>
      <c r="R128" s="213" t="s">
        <v>5356</v>
      </c>
      <c r="S128" s="213">
        <f>S127-207</f>
        <v>45</v>
      </c>
      <c r="T128" s="213" t="s">
        <v>5364</v>
      </c>
      <c r="U128" s="213">
        <v>7001.1</v>
      </c>
      <c r="V128" s="99">
        <f t="shared" si="41"/>
        <v>7349.1985282191799</v>
      </c>
      <c r="W128" s="32">
        <f t="shared" ref="W128:W136" si="43">V128*(1+$W$19/100)</f>
        <v>7496.1824987835635</v>
      </c>
      <c r="X128" s="32">
        <f t="shared" ref="X128:X136" si="44">V128*(1+$X$19/100)</f>
        <v>7643.166469347947</v>
      </c>
      <c r="AH128" s="89">
        <v>108</v>
      </c>
      <c r="AI128" s="90" t="s">
        <v>4613</v>
      </c>
      <c r="AJ128" s="90">
        <v>39327293</v>
      </c>
      <c r="AK128" s="89">
        <v>4</v>
      </c>
      <c r="AL128" s="149">
        <f t="shared" si="42"/>
        <v>372</v>
      </c>
      <c r="AM128" s="188">
        <f t="shared" si="40"/>
        <v>14629752996</v>
      </c>
      <c r="AN128" s="89" t="s">
        <v>4622</v>
      </c>
    </row>
    <row r="129" spans="6:43">
      <c r="F129" s="213"/>
      <c r="G129" s="213"/>
      <c r="H129" s="213"/>
      <c r="I129" s="213"/>
      <c r="J129" s="32" t="s">
        <v>4652</v>
      </c>
      <c r="K129" s="213"/>
      <c r="L129" s="1"/>
      <c r="M129" s="1"/>
      <c r="N129" s="113"/>
      <c r="Q129" s="169">
        <v>4038752</v>
      </c>
      <c r="R129" s="213" t="s">
        <v>5369</v>
      </c>
      <c r="S129" s="213">
        <f>S128-6</f>
        <v>39</v>
      </c>
      <c r="T129" s="213" t="s">
        <v>5370</v>
      </c>
      <c r="U129" s="213">
        <v>7310</v>
      </c>
      <c r="V129" s="99">
        <f t="shared" si="41"/>
        <v>7639.8111780821919</v>
      </c>
      <c r="W129" s="32">
        <f t="shared" si="43"/>
        <v>7792.6074016438361</v>
      </c>
      <c r="X129" s="32">
        <f t="shared" si="44"/>
        <v>7945.4036252054802</v>
      </c>
      <c r="Y129" t="s">
        <v>25</v>
      </c>
      <c r="Z129" t="s">
        <v>25</v>
      </c>
      <c r="AH129" s="89">
        <v>109</v>
      </c>
      <c r="AI129" s="90" t="s">
        <v>4636</v>
      </c>
      <c r="AJ129" s="90">
        <v>8749050</v>
      </c>
      <c r="AK129" s="89">
        <v>1</v>
      </c>
      <c r="AL129" s="89">
        <f t="shared" si="42"/>
        <v>368</v>
      </c>
      <c r="AM129" s="90">
        <f t="shared" si="40"/>
        <v>3219650400</v>
      </c>
      <c r="AN129" s="89" t="s">
        <v>4637</v>
      </c>
    </row>
    <row r="130" spans="6:43">
      <c r="M130" t="s">
        <v>25</v>
      </c>
      <c r="P130" s="114"/>
      <c r="Q130" s="169">
        <v>632415</v>
      </c>
      <c r="R130" s="213" t="s">
        <v>5377</v>
      </c>
      <c r="S130" s="213">
        <f>S129-5</f>
        <v>34</v>
      </c>
      <c r="T130" s="213" t="s">
        <v>5380</v>
      </c>
      <c r="U130" s="213">
        <v>7236.3</v>
      </c>
      <c r="V130" s="99">
        <f t="shared" si="41"/>
        <v>7535.0303243835615</v>
      </c>
      <c r="W130" s="32">
        <f t="shared" si="43"/>
        <v>7685.7309308712329</v>
      </c>
      <c r="X130" s="32">
        <f t="shared" si="44"/>
        <v>7836.4315373589043</v>
      </c>
      <c r="Z130" t="s">
        <v>25</v>
      </c>
      <c r="AH130" s="99">
        <v>110</v>
      </c>
      <c r="AI130" s="113" t="s">
        <v>4638</v>
      </c>
      <c r="AJ130" s="113">
        <v>60000</v>
      </c>
      <c r="AK130" s="99">
        <v>1</v>
      </c>
      <c r="AL130" s="99">
        <f t="shared" si="42"/>
        <v>367</v>
      </c>
      <c r="AM130" s="117">
        <f t="shared" si="40"/>
        <v>22020000</v>
      </c>
      <c r="AN130" s="99" t="s">
        <v>4639</v>
      </c>
    </row>
    <row r="131" spans="6:43">
      <c r="I131" t="s">
        <v>25</v>
      </c>
      <c r="Q131" s="169">
        <v>6417109</v>
      </c>
      <c r="R131" s="213" t="s">
        <v>5381</v>
      </c>
      <c r="S131" s="213">
        <f>S130-1</f>
        <v>33</v>
      </c>
      <c r="T131" s="213" t="s">
        <v>5382</v>
      </c>
      <c r="U131" s="213">
        <v>7097.9</v>
      </c>
      <c r="V131" s="99">
        <f t="shared" si="41"/>
        <v>7385.4719046575347</v>
      </c>
      <c r="W131" s="32">
        <f t="shared" si="43"/>
        <v>7533.1813427506859</v>
      </c>
      <c r="X131" s="32">
        <f t="shared" si="44"/>
        <v>7680.8907808438362</v>
      </c>
      <c r="Y131" t="s">
        <v>25</v>
      </c>
      <c r="AH131" s="20">
        <v>111</v>
      </c>
      <c r="AI131" s="117" t="s">
        <v>4647</v>
      </c>
      <c r="AJ131" s="117">
        <v>4750000</v>
      </c>
      <c r="AK131" s="20">
        <v>0</v>
      </c>
      <c r="AL131" s="99">
        <f t="shared" si="42"/>
        <v>366</v>
      </c>
      <c r="AM131" s="117">
        <f t="shared" si="40"/>
        <v>1738500000</v>
      </c>
      <c r="AN131" s="20"/>
      <c r="AQ131" t="s">
        <v>25</v>
      </c>
    </row>
    <row r="132" spans="6:43">
      <c r="J132" s="114"/>
      <c r="K132" s="168" t="s">
        <v>4524</v>
      </c>
      <c r="L132" s="168" t="s">
        <v>4525</v>
      </c>
      <c r="M132" s="168" t="s">
        <v>4420</v>
      </c>
      <c r="N132" s="56" t="s">
        <v>190</v>
      </c>
      <c r="Q132" s="169">
        <v>7802773</v>
      </c>
      <c r="R132" s="213" t="s">
        <v>5386</v>
      </c>
      <c r="S132" s="213">
        <f>S131-1</f>
        <v>32</v>
      </c>
      <c r="T132" s="213" t="s">
        <v>5388</v>
      </c>
      <c r="U132" s="213">
        <v>7100.1</v>
      </c>
      <c r="V132" s="99">
        <f t="shared" si="41"/>
        <v>7382.314385753426</v>
      </c>
      <c r="W132" s="32">
        <f t="shared" si="43"/>
        <v>7529.9606734684949</v>
      </c>
      <c r="X132" s="32">
        <f t="shared" si="44"/>
        <v>7677.6069611835637</v>
      </c>
      <c r="Y132" t="s">
        <v>25</v>
      </c>
      <c r="AH132" s="89">
        <v>112</v>
      </c>
      <c r="AI132" s="90" t="s">
        <v>4647</v>
      </c>
      <c r="AJ132" s="90">
        <v>13101160</v>
      </c>
      <c r="AK132" s="89">
        <v>1</v>
      </c>
      <c r="AL132" s="89">
        <f t="shared" si="42"/>
        <v>366</v>
      </c>
      <c r="AM132" s="90">
        <f t="shared" si="40"/>
        <v>4795024560</v>
      </c>
      <c r="AN132" s="89" t="s">
        <v>4650</v>
      </c>
    </row>
    <row r="133" spans="6:43">
      <c r="H133" s="114"/>
      <c r="K133" s="168" t="s">
        <v>4233</v>
      </c>
      <c r="L133" s="169">
        <v>1100000</v>
      </c>
      <c r="M133" s="169">
        <v>1637000</v>
      </c>
      <c r="N133" s="168">
        <f t="shared" ref="N133:N141" si="45">(M133-L133)*100/L133</f>
        <v>48.81818181818182</v>
      </c>
      <c r="Q133" s="169">
        <v>497886</v>
      </c>
      <c r="R133" s="213" t="s">
        <v>5389</v>
      </c>
      <c r="S133" s="213">
        <f>S132-4</f>
        <v>28</v>
      </c>
      <c r="T133" s="213" t="s">
        <v>5390</v>
      </c>
      <c r="U133" s="213">
        <v>6980.8</v>
      </c>
      <c r="V133" s="99">
        <f t="shared" si="41"/>
        <v>7236.8519189041108</v>
      </c>
      <c r="W133" s="32">
        <f t="shared" si="43"/>
        <v>7381.5889572821934</v>
      </c>
      <c r="X133" s="32">
        <f t="shared" si="44"/>
        <v>7526.3259956602751</v>
      </c>
      <c r="AH133" s="20">
        <v>113</v>
      </c>
      <c r="AI133" s="117" t="s">
        <v>4649</v>
      </c>
      <c r="AJ133" s="117">
        <v>-980000</v>
      </c>
      <c r="AK133" s="20">
        <v>0</v>
      </c>
      <c r="AL133" s="99">
        <f t="shared" si="42"/>
        <v>365</v>
      </c>
      <c r="AM133" s="117">
        <f t="shared" si="40"/>
        <v>-357700000</v>
      </c>
      <c r="AN133" s="20"/>
    </row>
    <row r="134" spans="6:43">
      <c r="F134" s="96"/>
      <c r="G134" s="213"/>
      <c r="H134" s="213" t="s">
        <v>5237</v>
      </c>
      <c r="I134" s="213" t="s">
        <v>5525</v>
      </c>
      <c r="J134" s="1">
        <v>79922415</v>
      </c>
      <c r="K134" s="5" t="s">
        <v>4519</v>
      </c>
      <c r="L134" s="169">
        <v>1100000</v>
      </c>
      <c r="M134" s="169">
        <v>4748000</v>
      </c>
      <c r="N134" s="168">
        <f t="shared" si="45"/>
        <v>331.63636363636363</v>
      </c>
      <c r="Q134" s="169">
        <v>4160802</v>
      </c>
      <c r="R134" s="213" t="s">
        <v>995</v>
      </c>
      <c r="S134" s="213">
        <f>S133-2</f>
        <v>26</v>
      </c>
      <c r="T134" s="213" t="s">
        <v>5398</v>
      </c>
      <c r="U134" s="213">
        <v>7092.5</v>
      </c>
      <c r="V134" s="99">
        <f t="shared" si="41"/>
        <v>7341.7673698630142</v>
      </c>
      <c r="W134" s="32">
        <f t="shared" si="43"/>
        <v>7488.6027172602744</v>
      </c>
      <c r="X134" s="32">
        <f t="shared" si="44"/>
        <v>7635.4380646575346</v>
      </c>
      <c r="Y134" t="s">
        <v>25</v>
      </c>
      <c r="AH134" s="89">
        <v>114</v>
      </c>
      <c r="AI134" s="90" t="s">
        <v>4649</v>
      </c>
      <c r="AJ134" s="90">
        <v>13301790</v>
      </c>
      <c r="AK134" s="89">
        <v>0</v>
      </c>
      <c r="AL134" s="89">
        <f t="shared" si="42"/>
        <v>365</v>
      </c>
      <c r="AM134" s="90">
        <f t="shared" si="40"/>
        <v>4855153350</v>
      </c>
      <c r="AN134" s="89" t="s">
        <v>4650</v>
      </c>
      <c r="AQ134" t="s">
        <v>25</v>
      </c>
    </row>
    <row r="135" spans="6:43">
      <c r="F135" s="96"/>
      <c r="G135" s="213" t="s">
        <v>938</v>
      </c>
      <c r="H135" s="213" t="s">
        <v>4524</v>
      </c>
      <c r="I135" s="213" t="s">
        <v>934</v>
      </c>
      <c r="J135" s="213" t="s">
        <v>4735</v>
      </c>
      <c r="K135" s="5" t="s">
        <v>4520</v>
      </c>
      <c r="L135" s="169">
        <v>1100000</v>
      </c>
      <c r="M135" s="169">
        <v>5137000</v>
      </c>
      <c r="N135" s="168">
        <f t="shared" si="45"/>
        <v>367</v>
      </c>
      <c r="P135" s="114"/>
      <c r="Q135" s="169">
        <v>5397012</v>
      </c>
      <c r="R135" s="213" t="s">
        <v>5399</v>
      </c>
      <c r="S135" s="213">
        <f>S134-1</f>
        <v>25</v>
      </c>
      <c r="T135" s="213" t="s">
        <v>5417</v>
      </c>
      <c r="U135" s="213">
        <v>6923.5</v>
      </c>
      <c r="V135" s="99">
        <f t="shared" si="41"/>
        <v>7161.5166520547955</v>
      </c>
      <c r="W135" s="32">
        <f t="shared" si="43"/>
        <v>7304.7469850958914</v>
      </c>
      <c r="X135" s="32">
        <f t="shared" si="44"/>
        <v>7447.9773181369874</v>
      </c>
      <c r="AH135" s="20">
        <v>115</v>
      </c>
      <c r="AI135" s="117" t="s">
        <v>4649</v>
      </c>
      <c r="AJ135" s="117">
        <v>404000</v>
      </c>
      <c r="AK135" s="20">
        <v>5</v>
      </c>
      <c r="AL135" s="99">
        <f t="shared" si="42"/>
        <v>365</v>
      </c>
      <c r="AM135" s="117">
        <f t="shared" si="40"/>
        <v>147460000</v>
      </c>
      <c r="AN135" s="20" t="s">
        <v>4656</v>
      </c>
    </row>
    <row r="136" spans="6:43">
      <c r="F136" s="96"/>
      <c r="G136" s="1">
        <f>P63</f>
        <v>526.79999999999995</v>
      </c>
      <c r="H136" s="213" t="s">
        <v>4233</v>
      </c>
      <c r="I136" s="213">
        <v>241029</v>
      </c>
      <c r="J136" s="1">
        <f>I136*G136</f>
        <v>126974077.19999999</v>
      </c>
      <c r="K136" s="19" t="s">
        <v>4379</v>
      </c>
      <c r="L136" s="169">
        <v>1100000</v>
      </c>
      <c r="M136" s="169">
        <v>4300000</v>
      </c>
      <c r="N136" s="168">
        <f t="shared" si="45"/>
        <v>290.90909090909093</v>
      </c>
      <c r="Q136" s="169">
        <v>112608</v>
      </c>
      <c r="R136" s="213" t="s">
        <v>5400</v>
      </c>
      <c r="S136" s="213">
        <f>S135-1</f>
        <v>24</v>
      </c>
      <c r="T136" s="213" t="s">
        <v>5402</v>
      </c>
      <c r="U136" s="213">
        <v>2950</v>
      </c>
      <c r="V136" s="99">
        <f t="shared" si="41"/>
        <v>3049.1523287671234</v>
      </c>
      <c r="W136" s="32">
        <f t="shared" si="43"/>
        <v>3110.135375342466</v>
      </c>
      <c r="X136" s="32">
        <f t="shared" si="44"/>
        <v>3171.1184219178085</v>
      </c>
      <c r="Y136" t="s">
        <v>25</v>
      </c>
      <c r="AH136" s="89">
        <v>116</v>
      </c>
      <c r="AI136" s="90" t="s">
        <v>4668</v>
      </c>
      <c r="AJ136" s="90">
        <v>4291628</v>
      </c>
      <c r="AK136" s="89">
        <v>2</v>
      </c>
      <c r="AL136" s="89">
        <f t="shared" si="42"/>
        <v>360</v>
      </c>
      <c r="AM136" s="90">
        <f t="shared" si="40"/>
        <v>1544986080</v>
      </c>
      <c r="AN136" s="89" t="s">
        <v>4669</v>
      </c>
    </row>
    <row r="137" spans="6:43">
      <c r="F137" s="96"/>
      <c r="G137" s="1">
        <f>P53</f>
        <v>1538.3</v>
      </c>
      <c r="H137" s="213" t="s">
        <v>4397</v>
      </c>
      <c r="I137" s="213">
        <v>1205</v>
      </c>
      <c r="J137" s="1">
        <f t="shared" ref="J137:J138" si="46">I137*G137</f>
        <v>1853651.5</v>
      </c>
      <c r="K137" s="5" t="s">
        <v>4397</v>
      </c>
      <c r="L137" s="169">
        <v>1100000</v>
      </c>
      <c r="M137" s="169">
        <v>3191000</v>
      </c>
      <c r="N137" s="168">
        <f t="shared" si="45"/>
        <v>190.09090909090909</v>
      </c>
      <c r="Q137" s="169">
        <v>208504</v>
      </c>
      <c r="R137" s="213" t="s">
        <v>5408</v>
      </c>
      <c r="S137" s="213">
        <f>S136-5</f>
        <v>19</v>
      </c>
      <c r="T137" s="213" t="s">
        <v>5412</v>
      </c>
      <c r="U137" s="213">
        <v>562.5</v>
      </c>
      <c r="V137" s="99">
        <f t="shared" si="41"/>
        <v>579.24863013698632</v>
      </c>
      <c r="W137" s="32">
        <f t="shared" ref="W137:W143" si="47">V137*(1+$W$19/100)</f>
        <v>590.83360273972608</v>
      </c>
      <c r="X137" s="32">
        <f t="shared" ref="X137:X143" si="48">V137*(1+$X$19/100)</f>
        <v>602.41857534246583</v>
      </c>
      <c r="Z137" t="s">
        <v>25</v>
      </c>
      <c r="AH137" s="20">
        <v>117</v>
      </c>
      <c r="AI137" s="117" t="s">
        <v>4671</v>
      </c>
      <c r="AJ137" s="117">
        <v>1000</v>
      </c>
      <c r="AK137" s="20">
        <v>5</v>
      </c>
      <c r="AL137" s="20">
        <f t="shared" si="42"/>
        <v>358</v>
      </c>
      <c r="AM137" s="117">
        <f t="shared" si="40"/>
        <v>358000</v>
      </c>
      <c r="AN137" s="20"/>
    </row>
    <row r="138" spans="6:43">
      <c r="F138" s="96"/>
      <c r="G138" s="1">
        <f>P62</f>
        <v>8677.2999999999993</v>
      </c>
      <c r="H138" s="213" t="s">
        <v>4383</v>
      </c>
      <c r="I138" s="213">
        <v>2299</v>
      </c>
      <c r="J138" s="1">
        <f t="shared" si="46"/>
        <v>19949112.699999999</v>
      </c>
      <c r="K138" s="5" t="s">
        <v>4521</v>
      </c>
      <c r="L138" s="169">
        <v>1100000</v>
      </c>
      <c r="M138" s="169">
        <v>5623000</v>
      </c>
      <c r="N138" s="168">
        <f t="shared" si="45"/>
        <v>411.18181818181819</v>
      </c>
      <c r="Q138" s="169">
        <v>6908862</v>
      </c>
      <c r="R138" s="213" t="s">
        <v>5415</v>
      </c>
      <c r="S138" s="213">
        <f>S137-5</f>
        <v>14</v>
      </c>
      <c r="T138" s="213" t="s">
        <v>5425</v>
      </c>
      <c r="U138" s="213">
        <v>7301.1</v>
      </c>
      <c r="V138" s="99">
        <f t="shared" si="41"/>
        <v>7490.4885336986317</v>
      </c>
      <c r="W138" s="32">
        <f t="shared" si="47"/>
        <v>7640.2983043726044</v>
      </c>
      <c r="X138" s="32">
        <f t="shared" si="48"/>
        <v>7790.1080750465771</v>
      </c>
      <c r="Y138" t="s">
        <v>25</v>
      </c>
      <c r="AH138" s="121">
        <v>118</v>
      </c>
      <c r="AI138" s="79" t="s">
        <v>4679</v>
      </c>
      <c r="AJ138" s="79">
        <v>8739459</v>
      </c>
      <c r="AK138" s="121">
        <v>2</v>
      </c>
      <c r="AL138" s="121">
        <f t="shared" si="42"/>
        <v>353</v>
      </c>
      <c r="AM138" s="79">
        <f t="shared" si="40"/>
        <v>3085029027</v>
      </c>
      <c r="AN138" s="121" t="s">
        <v>4637</v>
      </c>
    </row>
    <row r="139" spans="6:43">
      <c r="F139" s="96"/>
      <c r="G139" s="1"/>
      <c r="H139" s="213" t="s">
        <v>25</v>
      </c>
      <c r="I139" s="213"/>
      <c r="J139" s="1"/>
      <c r="K139" s="19" t="s">
        <v>4383</v>
      </c>
      <c r="L139" s="169">
        <v>1100000</v>
      </c>
      <c r="M139" s="169">
        <v>7728000</v>
      </c>
      <c r="N139" s="168">
        <f t="shared" si="45"/>
        <v>602.5454545454545</v>
      </c>
      <c r="Q139" s="169">
        <v>36895962</v>
      </c>
      <c r="R139" s="213" t="s">
        <v>5426</v>
      </c>
      <c r="S139" s="213">
        <f>S138-1</f>
        <v>13</v>
      </c>
      <c r="T139" s="213" t="s">
        <v>5432</v>
      </c>
      <c r="U139" s="213">
        <v>7372.4</v>
      </c>
      <c r="V139" s="99">
        <f t="shared" si="41"/>
        <v>7557.9824964383561</v>
      </c>
      <c r="W139" s="32">
        <f t="shared" si="47"/>
        <v>7709.1421463671231</v>
      </c>
      <c r="X139" s="32">
        <f t="shared" si="48"/>
        <v>7860.3017962958902</v>
      </c>
      <c r="AH139" s="121">
        <v>119</v>
      </c>
      <c r="AI139" s="79" t="s">
        <v>4680</v>
      </c>
      <c r="AJ139" s="79">
        <v>17595278</v>
      </c>
      <c r="AK139" s="121">
        <v>1</v>
      </c>
      <c r="AL139" s="121">
        <f t="shared" si="42"/>
        <v>351</v>
      </c>
      <c r="AM139" s="79">
        <f t="shared" si="40"/>
        <v>6175942578</v>
      </c>
      <c r="AN139" s="121" t="s">
        <v>4682</v>
      </c>
      <c r="AQ139" t="s">
        <v>25</v>
      </c>
    </row>
    <row r="140" spans="6:43">
      <c r="F140" s="96"/>
      <c r="G140" s="213"/>
      <c r="H140" s="213"/>
      <c r="I140" s="113">
        <f>J140-J134</f>
        <v>68854426.399999976</v>
      </c>
      <c r="J140" s="1">
        <f>SUM(J136:J139)</f>
        <v>148776841.39999998</v>
      </c>
      <c r="K140" s="5" t="s">
        <v>4523</v>
      </c>
      <c r="L140" s="169">
        <v>1100000</v>
      </c>
      <c r="M140" s="169">
        <v>2904000</v>
      </c>
      <c r="N140" s="168">
        <f t="shared" si="45"/>
        <v>164</v>
      </c>
      <c r="P140" s="114"/>
      <c r="Q140" s="169">
        <v>6896450</v>
      </c>
      <c r="R140" s="213" t="s">
        <v>5429</v>
      </c>
      <c r="S140" s="213">
        <f>S139-1</f>
        <v>12</v>
      </c>
      <c r="T140" s="213" t="s">
        <v>5430</v>
      </c>
      <c r="U140" s="213">
        <v>403.8</v>
      </c>
      <c r="V140" s="99">
        <f t="shared" si="41"/>
        <v>413.65493260273979</v>
      </c>
      <c r="W140" s="32">
        <f t="shared" si="47"/>
        <v>421.92803125479458</v>
      </c>
      <c r="X140" s="32">
        <f t="shared" si="48"/>
        <v>430.20112990684942</v>
      </c>
      <c r="Z140" t="s">
        <v>25</v>
      </c>
      <c r="AH140" s="121">
        <v>120</v>
      </c>
      <c r="AI140" s="79" t="s">
        <v>4681</v>
      </c>
      <c r="AJ140" s="79">
        <v>13335309</v>
      </c>
      <c r="AK140" s="121">
        <v>13</v>
      </c>
      <c r="AL140" s="121">
        <f t="shared" si="42"/>
        <v>350</v>
      </c>
      <c r="AM140" s="79">
        <f t="shared" si="40"/>
        <v>4667358150</v>
      </c>
      <c r="AN140" s="121" t="s">
        <v>4650</v>
      </c>
    </row>
    <row r="141" spans="6:43">
      <c r="G141" s="213"/>
      <c r="H141" s="213"/>
      <c r="I141" s="213" t="s">
        <v>914</v>
      </c>
      <c r="J141" s="213" t="s">
        <v>6</v>
      </c>
      <c r="K141" s="262" t="s">
        <v>1082</v>
      </c>
      <c r="L141" s="169">
        <v>1100000</v>
      </c>
      <c r="M141" s="169">
        <v>3400000</v>
      </c>
      <c r="N141" s="168">
        <f t="shared" si="45"/>
        <v>209.09090909090909</v>
      </c>
      <c r="Q141" s="169">
        <v>9004476</v>
      </c>
      <c r="R141" s="213" t="s">
        <v>5442</v>
      </c>
      <c r="S141" s="213">
        <f>S140-2</f>
        <v>10</v>
      </c>
      <c r="T141" s="213" t="s">
        <v>5560</v>
      </c>
      <c r="U141" s="213">
        <v>394</v>
      </c>
      <c r="V141" s="99">
        <f t="shared" si="41"/>
        <v>403.01126575342471</v>
      </c>
      <c r="W141" s="32">
        <f t="shared" si="47"/>
        <v>411.07149106849323</v>
      </c>
      <c r="X141" s="32">
        <f t="shared" si="48"/>
        <v>419.1317163835617</v>
      </c>
      <c r="Y141" t="s">
        <v>25</v>
      </c>
      <c r="AA141" t="s">
        <v>25</v>
      </c>
      <c r="AH141" s="161">
        <v>121</v>
      </c>
      <c r="AI141" s="228" t="s">
        <v>4734</v>
      </c>
      <c r="AJ141" s="228">
        <v>50000000</v>
      </c>
      <c r="AK141" s="161">
        <v>11</v>
      </c>
      <c r="AL141" s="161">
        <f t="shared" si="42"/>
        <v>337</v>
      </c>
      <c r="AM141" s="228">
        <f t="shared" si="40"/>
        <v>16850000000</v>
      </c>
      <c r="AN141" s="161" t="s">
        <v>4736</v>
      </c>
      <c r="AP141" t="s">
        <v>25</v>
      </c>
    </row>
    <row r="142" spans="6:43">
      <c r="G142" s="41"/>
      <c r="H142" s="41"/>
      <c r="I142" s="41"/>
      <c r="J142" s="41"/>
      <c r="K142" s="241" t="s">
        <v>5549</v>
      </c>
      <c r="Q142" s="169">
        <v>26966605</v>
      </c>
      <c r="R142" s="213" t="s">
        <v>5442</v>
      </c>
      <c r="S142" s="213">
        <f>S141</f>
        <v>10</v>
      </c>
      <c r="T142" s="213" t="s">
        <v>5542</v>
      </c>
      <c r="U142" s="213">
        <v>7557.6</v>
      </c>
      <c r="V142" s="99">
        <f t="shared" si="41"/>
        <v>7730.4516295890426</v>
      </c>
      <c r="W142" s="32">
        <f t="shared" si="47"/>
        <v>7885.0606621808238</v>
      </c>
      <c r="X142" s="32">
        <f t="shared" si="48"/>
        <v>8039.669694772605</v>
      </c>
      <c r="Y142" t="s">
        <v>25</v>
      </c>
      <c r="AH142" s="20">
        <v>122</v>
      </c>
      <c r="AI142" s="117" t="s">
        <v>971</v>
      </c>
      <c r="AJ142" s="117">
        <v>30000</v>
      </c>
      <c r="AK142" s="20">
        <v>3</v>
      </c>
      <c r="AL142" s="20">
        <f t="shared" si="42"/>
        <v>326</v>
      </c>
      <c r="AM142" s="117">
        <f t="shared" si="40"/>
        <v>9780000</v>
      </c>
      <c r="AN142" s="20"/>
    </row>
    <row r="143" spans="6:43">
      <c r="G143" s="213"/>
      <c r="H143" s="213" t="s">
        <v>4271</v>
      </c>
      <c r="I143" s="213" t="s">
        <v>5383</v>
      </c>
      <c r="J143" s="1">
        <v>16319143</v>
      </c>
      <c r="K143" s="241" t="s">
        <v>4552</v>
      </c>
      <c r="P143" t="s">
        <v>25</v>
      </c>
      <c r="Q143" s="169">
        <v>114428</v>
      </c>
      <c r="R143" s="213" t="s">
        <v>5442</v>
      </c>
      <c r="S143" s="213">
        <f>S142</f>
        <v>10</v>
      </c>
      <c r="T143" s="213" t="s">
        <v>5468</v>
      </c>
      <c r="U143" s="213">
        <v>1700</v>
      </c>
      <c r="V143" s="99">
        <f t="shared" si="41"/>
        <v>1738.8810958904112</v>
      </c>
      <c r="W143" s="32">
        <f t="shared" si="47"/>
        <v>1773.6587178082195</v>
      </c>
      <c r="X143" s="32">
        <f t="shared" si="48"/>
        <v>1808.4363397260277</v>
      </c>
      <c r="Y143" t="s">
        <v>25</v>
      </c>
      <c r="AH143" s="20">
        <v>123</v>
      </c>
      <c r="AI143" s="117" t="s">
        <v>4796</v>
      </c>
      <c r="AJ143" s="117">
        <v>600000</v>
      </c>
      <c r="AK143" s="20">
        <v>1</v>
      </c>
      <c r="AL143" s="20">
        <f t="shared" si="42"/>
        <v>323</v>
      </c>
      <c r="AM143" s="117">
        <f t="shared" si="40"/>
        <v>193800000</v>
      </c>
      <c r="AN143" s="20"/>
    </row>
    <row r="144" spans="6:43">
      <c r="G144" s="1">
        <f>P63</f>
        <v>526.79999999999995</v>
      </c>
      <c r="H144" s="213" t="s">
        <v>4233</v>
      </c>
      <c r="I144" s="213">
        <v>62896</v>
      </c>
      <c r="J144" s="1">
        <f>G144*I144</f>
        <v>33133612.799999997</v>
      </c>
      <c r="K144" s="241" t="s">
        <v>4553</v>
      </c>
      <c r="Q144" s="169">
        <v>102828444</v>
      </c>
      <c r="R144" s="213" t="s">
        <v>5485</v>
      </c>
      <c r="S144" s="213">
        <f>S143-6</f>
        <v>4</v>
      </c>
      <c r="T144" s="213" t="s">
        <v>5493</v>
      </c>
      <c r="U144" s="213">
        <v>527.70000000000005</v>
      </c>
      <c r="V144" s="99">
        <f t="shared" si="41"/>
        <v>537.34028383561656</v>
      </c>
      <c r="W144" s="32">
        <f t="shared" ref="W144:W149" si="49">V144*(1+$W$19/100)</f>
        <v>548.08708951232893</v>
      </c>
      <c r="X144" s="32">
        <f t="shared" ref="X144:X149" si="50">V144*(1+$X$19/100)</f>
        <v>558.83389518904119</v>
      </c>
      <c r="Y144" t="s">
        <v>25</v>
      </c>
      <c r="AH144" s="20">
        <v>124</v>
      </c>
      <c r="AI144" s="117" t="s">
        <v>4799</v>
      </c>
      <c r="AJ144" s="117">
        <v>30000</v>
      </c>
      <c r="AK144" s="20">
        <v>3</v>
      </c>
      <c r="AL144" s="20">
        <f t="shared" si="42"/>
        <v>322</v>
      </c>
      <c r="AM144" s="117">
        <f t="shared" si="40"/>
        <v>9660000</v>
      </c>
      <c r="AN144" s="20"/>
    </row>
    <row r="145" spans="7:44">
      <c r="G145" s="1">
        <f>P53</f>
        <v>1538.3</v>
      </c>
      <c r="H145" s="213" t="s">
        <v>4397</v>
      </c>
      <c r="I145" s="213">
        <v>2304</v>
      </c>
      <c r="J145" s="1">
        <f t="shared" ref="J145" si="51">G145*I145</f>
        <v>3544243.1999999997</v>
      </c>
      <c r="Q145" s="169">
        <v>23139942</v>
      </c>
      <c r="R145" s="213" t="s">
        <v>5486</v>
      </c>
      <c r="S145" s="213">
        <f>S144-1</f>
        <v>3</v>
      </c>
      <c r="T145" s="213" t="s">
        <v>5496</v>
      </c>
      <c r="U145" s="213">
        <v>514.20000000000005</v>
      </c>
      <c r="V145" s="99">
        <f t="shared" si="41"/>
        <v>523.19920438356178</v>
      </c>
      <c r="W145" s="32">
        <f t="shared" si="49"/>
        <v>533.66318847123307</v>
      </c>
      <c r="X145" s="32">
        <f t="shared" si="50"/>
        <v>544.12717255890425</v>
      </c>
      <c r="Y145" s="122" t="s">
        <v>25</v>
      </c>
      <c r="AH145" s="20">
        <v>125</v>
      </c>
      <c r="AI145" s="117" t="s">
        <v>4805</v>
      </c>
      <c r="AJ145" s="117">
        <v>2250000</v>
      </c>
      <c r="AK145" s="20">
        <v>1</v>
      </c>
      <c r="AL145" s="20">
        <f t="shared" si="42"/>
        <v>319</v>
      </c>
      <c r="AM145" s="117">
        <f t="shared" ref="AM145:AM147" si="52">AJ145*AL145</f>
        <v>717750000</v>
      </c>
      <c r="AN145" s="20"/>
      <c r="AR145" t="s">
        <v>25</v>
      </c>
    </row>
    <row r="146" spans="7:44">
      <c r="G146" s="213"/>
      <c r="H146" s="213"/>
      <c r="I146" s="213" t="s">
        <v>25</v>
      </c>
      <c r="J146" s="213" t="s">
        <v>25</v>
      </c>
      <c r="Q146" s="169">
        <v>31312858</v>
      </c>
      <c r="R146" s="213" t="s">
        <v>5498</v>
      </c>
      <c r="S146" s="213">
        <f>S145-3</f>
        <v>0</v>
      </c>
      <c r="T146" s="213" t="s">
        <v>5501</v>
      </c>
      <c r="U146" s="213">
        <v>497.5</v>
      </c>
      <c r="V146" s="99">
        <f t="shared" si="41"/>
        <v>505.06200000000007</v>
      </c>
      <c r="W146" s="32">
        <f t="shared" si="49"/>
        <v>515.16324000000009</v>
      </c>
      <c r="X146" s="32">
        <f t="shared" si="50"/>
        <v>525.26448000000005</v>
      </c>
      <c r="AH146" s="23">
        <v>126</v>
      </c>
      <c r="AI146" s="35" t="s">
        <v>4810</v>
      </c>
      <c r="AJ146" s="35">
        <v>-31412200</v>
      </c>
      <c r="AK146" s="23">
        <v>1</v>
      </c>
      <c r="AL146" s="20">
        <f t="shared" si="42"/>
        <v>318</v>
      </c>
      <c r="AM146" s="35">
        <f t="shared" si="52"/>
        <v>-9989079600</v>
      </c>
      <c r="AN146" s="23" t="s">
        <v>4798</v>
      </c>
    </row>
    <row r="147" spans="7:44">
      <c r="G147" s="213"/>
      <c r="H147" s="213"/>
      <c r="I147" s="113">
        <f>J147-J143</f>
        <v>20358713</v>
      </c>
      <c r="J147" s="1">
        <f>SUM(J144:J146)</f>
        <v>36677856</v>
      </c>
      <c r="Q147" s="169">
        <v>8783578</v>
      </c>
      <c r="R147" s="213" t="s">
        <v>5504</v>
      </c>
      <c r="S147" s="213">
        <f>S146-1</f>
        <v>-1</v>
      </c>
      <c r="T147" s="213" t="s">
        <v>5508</v>
      </c>
      <c r="U147" s="213">
        <v>488.3</v>
      </c>
      <c r="V147" s="99">
        <f t="shared" si="41"/>
        <v>495.34757369863024</v>
      </c>
      <c r="W147" s="32">
        <f t="shared" si="49"/>
        <v>505.25452517260288</v>
      </c>
      <c r="X147" s="32">
        <f t="shared" si="50"/>
        <v>515.16147664657547</v>
      </c>
      <c r="Z147" s="96"/>
      <c r="AH147" s="20">
        <v>127</v>
      </c>
      <c r="AI147" s="117" t="s">
        <v>4819</v>
      </c>
      <c r="AJ147" s="117">
        <v>70000</v>
      </c>
      <c r="AK147" s="20">
        <v>9</v>
      </c>
      <c r="AL147" s="20">
        <f t="shared" si="42"/>
        <v>317</v>
      </c>
      <c r="AM147" s="117">
        <f t="shared" si="52"/>
        <v>22190000</v>
      </c>
      <c r="AN147" s="20"/>
    </row>
    <row r="148" spans="7:44">
      <c r="G148" s="213"/>
      <c r="H148" s="213"/>
      <c r="I148" s="213" t="s">
        <v>914</v>
      </c>
      <c r="J148" s="213" t="s">
        <v>6</v>
      </c>
      <c r="Q148" s="169">
        <v>114289488</v>
      </c>
      <c r="R148" s="213" t="s">
        <v>5514</v>
      </c>
      <c r="S148" s="213">
        <f>S147-2</f>
        <v>-3</v>
      </c>
      <c r="T148" s="213" t="s">
        <v>5523</v>
      </c>
      <c r="U148" s="213">
        <v>518</v>
      </c>
      <c r="V148" s="99">
        <f t="shared" si="41"/>
        <v>524.68149041095899</v>
      </c>
      <c r="W148" s="32">
        <f t="shared" si="49"/>
        <v>535.17512021917821</v>
      </c>
      <c r="X148" s="32">
        <f t="shared" si="50"/>
        <v>545.66875002739732</v>
      </c>
      <c r="Z148" s="96" t="s">
        <v>25</v>
      </c>
      <c r="AH148" s="99">
        <v>128</v>
      </c>
      <c r="AI148" s="113" t="s">
        <v>4826</v>
      </c>
      <c r="AJ148" s="113">
        <v>20000</v>
      </c>
      <c r="AK148" s="99">
        <v>10</v>
      </c>
      <c r="AL148" s="20">
        <f t="shared" si="42"/>
        <v>308</v>
      </c>
      <c r="AM148" s="117">
        <f t="shared" ref="AM148:AM149" si="53">AJ148*AL148</f>
        <v>6160000</v>
      </c>
      <c r="AN148" s="20"/>
      <c r="AP148" t="s">
        <v>25</v>
      </c>
    </row>
    <row r="149" spans="7:44">
      <c r="G149" s="41"/>
      <c r="H149" s="41"/>
      <c r="I149" s="41"/>
      <c r="J149" s="41"/>
      <c r="K149" t="s">
        <v>25</v>
      </c>
      <c r="Q149" s="169">
        <v>41979</v>
      </c>
      <c r="R149" s="213" t="s">
        <v>5515</v>
      </c>
      <c r="S149" s="213">
        <f>S148-1</f>
        <v>-4</v>
      </c>
      <c r="T149" s="213" t="s">
        <v>5528</v>
      </c>
      <c r="U149" s="213">
        <v>1990</v>
      </c>
      <c r="V149" s="99">
        <f t="shared" si="41"/>
        <v>2014.1416986301369</v>
      </c>
      <c r="W149" s="32">
        <f t="shared" si="49"/>
        <v>2054.4245326027399</v>
      </c>
      <c r="X149" s="32">
        <f t="shared" si="50"/>
        <v>2094.7073665753423</v>
      </c>
      <c r="Z149" s="96"/>
      <c r="AH149" s="99">
        <v>129</v>
      </c>
      <c r="AI149" s="113" t="s">
        <v>4846</v>
      </c>
      <c r="AJ149" s="113">
        <v>1000000</v>
      </c>
      <c r="AK149" s="99">
        <v>1</v>
      </c>
      <c r="AL149" s="20">
        <f t="shared" si="42"/>
        <v>298</v>
      </c>
      <c r="AM149" s="117">
        <f t="shared" si="53"/>
        <v>298000000</v>
      </c>
      <c r="AN149" s="20"/>
    </row>
    <row r="150" spans="7:44">
      <c r="G150" s="213"/>
      <c r="H150" s="213" t="s">
        <v>5272</v>
      </c>
      <c r="I150" s="213" t="s">
        <v>5176</v>
      </c>
      <c r="J150" s="1">
        <v>19795000</v>
      </c>
      <c r="P150" t="s">
        <v>25</v>
      </c>
      <c r="Q150" s="169">
        <v>2772871</v>
      </c>
      <c r="R150" s="213" t="s">
        <v>5515</v>
      </c>
      <c r="S150" s="213">
        <f>S149</f>
        <v>-4</v>
      </c>
      <c r="T150" s="213" t="s">
        <v>5530</v>
      </c>
      <c r="U150" s="213">
        <v>535</v>
      </c>
      <c r="V150" s="99">
        <f t="shared" si="41"/>
        <v>541.49035616438357</v>
      </c>
      <c r="W150" s="32">
        <f t="shared" ref="W150:W160" si="54">V150*(1+$W$19/100)</f>
        <v>552.32016328767122</v>
      </c>
      <c r="X150" s="32">
        <f t="shared" ref="X150:X160" si="55">V150*(1+$X$19/100)</f>
        <v>563.14997041095899</v>
      </c>
      <c r="Y150" t="s">
        <v>25</v>
      </c>
      <c r="Z150" s="96"/>
      <c r="AA150" s="114"/>
      <c r="AC150" s="114"/>
      <c r="AD150" s="114"/>
      <c r="AH150" s="99">
        <v>130</v>
      </c>
      <c r="AI150" s="113" t="s">
        <v>4847</v>
      </c>
      <c r="AJ150" s="113">
        <v>65630227</v>
      </c>
      <c r="AK150" s="99">
        <v>0</v>
      </c>
      <c r="AL150" s="20">
        <f t="shared" si="42"/>
        <v>297</v>
      </c>
      <c r="AM150" s="117">
        <f t="shared" ref="AM150:AM177" si="56">AJ150*AL150</f>
        <v>19492177419</v>
      </c>
      <c r="AN150" s="20" t="s">
        <v>4850</v>
      </c>
      <c r="AP150" t="s">
        <v>25</v>
      </c>
      <c r="AR150" t="s">
        <v>25</v>
      </c>
    </row>
    <row r="151" spans="7:44">
      <c r="G151" s="1">
        <f>P63</f>
        <v>526.79999999999995</v>
      </c>
      <c r="H151" s="213" t="s">
        <v>4233</v>
      </c>
      <c r="I151" s="213">
        <v>46582</v>
      </c>
      <c r="J151" s="1">
        <f>G151*I151</f>
        <v>24539397.599999998</v>
      </c>
      <c r="K151" t="s">
        <v>25</v>
      </c>
      <c r="O151" s="96"/>
      <c r="Q151" s="169">
        <v>20590094</v>
      </c>
      <c r="R151" s="213" t="s">
        <v>5515</v>
      </c>
      <c r="S151" s="213">
        <f>S150</f>
        <v>-4</v>
      </c>
      <c r="T151" s="213" t="s">
        <v>5532</v>
      </c>
      <c r="U151" s="213">
        <v>1465</v>
      </c>
      <c r="V151" s="99">
        <f t="shared" si="41"/>
        <v>1482.7726575342465</v>
      </c>
      <c r="W151" s="32">
        <f t="shared" si="54"/>
        <v>1512.4281106849314</v>
      </c>
      <c r="X151" s="32">
        <f t="shared" si="55"/>
        <v>1542.0835638356164</v>
      </c>
      <c r="Y151" t="s">
        <v>25</v>
      </c>
      <c r="Z151" s="96"/>
      <c r="AA151" s="114"/>
      <c r="AC151" s="114"/>
      <c r="AH151" s="99">
        <v>131</v>
      </c>
      <c r="AI151" s="113" t="s">
        <v>4847</v>
      </c>
      <c r="AJ151" s="113">
        <v>-3500000</v>
      </c>
      <c r="AK151" s="99">
        <v>6</v>
      </c>
      <c r="AL151" s="20">
        <f t="shared" si="42"/>
        <v>297</v>
      </c>
      <c r="AM151" s="117">
        <f t="shared" si="56"/>
        <v>-1039500000</v>
      </c>
      <c r="AN151" s="20" t="s">
        <v>4849</v>
      </c>
    </row>
    <row r="152" spans="7:44">
      <c r="G152" s="213"/>
      <c r="H152" s="213" t="s">
        <v>338</v>
      </c>
      <c r="I152" s="213"/>
      <c r="J152" s="1">
        <v>10000000</v>
      </c>
      <c r="Q152" s="169">
        <v>143462</v>
      </c>
      <c r="R152" s="213" t="s">
        <v>5515</v>
      </c>
      <c r="S152" s="213">
        <f>S151</f>
        <v>-4</v>
      </c>
      <c r="T152" s="213" t="s">
        <v>5538</v>
      </c>
      <c r="U152" s="213">
        <v>340</v>
      </c>
      <c r="V152" s="99">
        <f t="shared" si="41"/>
        <v>344.12471232876715</v>
      </c>
      <c r="W152" s="32">
        <f t="shared" si="54"/>
        <v>351.00720657534248</v>
      </c>
      <c r="X152" s="32">
        <f t="shared" si="55"/>
        <v>357.88970082191787</v>
      </c>
      <c r="Y152" t="s">
        <v>25</v>
      </c>
      <c r="Z152" s="96"/>
      <c r="AA152" s="114"/>
      <c r="AC152" s="114"/>
      <c r="AD152" s="114"/>
      <c r="AH152" s="99">
        <v>132</v>
      </c>
      <c r="AI152" s="113" t="s">
        <v>4860</v>
      </c>
      <c r="AJ152" s="113">
        <v>2520000</v>
      </c>
      <c r="AK152" s="99">
        <v>12</v>
      </c>
      <c r="AL152" s="20">
        <f t="shared" si="42"/>
        <v>291</v>
      </c>
      <c r="AM152" s="117">
        <f t="shared" si="56"/>
        <v>733320000</v>
      </c>
      <c r="AN152" s="20"/>
    </row>
    <row r="153" spans="7:44">
      <c r="G153" s="213"/>
      <c r="H153" s="213"/>
      <c r="I153" s="1">
        <f>J153-J150</f>
        <v>14744397.599999994</v>
      </c>
      <c r="J153" s="1">
        <f>SUM(J151:J152)</f>
        <v>34539397.599999994</v>
      </c>
      <c r="Q153" s="169">
        <v>588704</v>
      </c>
      <c r="R153" s="213" t="s">
        <v>5539</v>
      </c>
      <c r="S153" s="213">
        <f>S152-3</f>
        <v>-7</v>
      </c>
      <c r="T153" s="213" t="s">
        <v>5543</v>
      </c>
      <c r="U153" s="213">
        <v>438</v>
      </c>
      <c r="V153" s="99">
        <f t="shared" si="41"/>
        <v>442.30560000000003</v>
      </c>
      <c r="W153" s="32">
        <f t="shared" si="54"/>
        <v>451.15171200000003</v>
      </c>
      <c r="X153" s="32">
        <f t="shared" si="55"/>
        <v>459.99782400000004</v>
      </c>
      <c r="Y153" s="96" t="s">
        <v>25</v>
      </c>
      <c r="Z153" s="96"/>
      <c r="AH153" s="99">
        <v>133</v>
      </c>
      <c r="AI153" s="113" t="s">
        <v>4895</v>
      </c>
      <c r="AJ153" s="113">
        <v>1400000</v>
      </c>
      <c r="AK153" s="99">
        <v>4</v>
      </c>
      <c r="AL153" s="20">
        <f t="shared" si="42"/>
        <v>279</v>
      </c>
      <c r="AM153" s="117">
        <f t="shared" si="56"/>
        <v>390600000</v>
      </c>
      <c r="AN153" s="20"/>
    </row>
    <row r="154" spans="7:44">
      <c r="G154" s="213"/>
      <c r="H154" s="213"/>
      <c r="I154" s="213" t="s">
        <v>914</v>
      </c>
      <c r="J154" s="213" t="s">
        <v>6</v>
      </c>
      <c r="K154" t="s">
        <v>25</v>
      </c>
      <c r="P154" t="s">
        <v>25</v>
      </c>
      <c r="Q154" s="169">
        <v>9449266</v>
      </c>
      <c r="R154" s="213" t="s">
        <v>5539</v>
      </c>
      <c r="S154" s="213">
        <f>S153</f>
        <v>-7</v>
      </c>
      <c r="T154" s="213" t="s">
        <v>5544</v>
      </c>
      <c r="U154" s="213">
        <v>524.4</v>
      </c>
      <c r="V154" s="99">
        <f t="shared" si="41"/>
        <v>529.55492383561648</v>
      </c>
      <c r="W154" s="32">
        <f t="shared" si="54"/>
        <v>540.1460223123288</v>
      </c>
      <c r="X154" s="32">
        <f t="shared" si="55"/>
        <v>550.73712078904111</v>
      </c>
      <c r="Y154" s="122" t="s">
        <v>25</v>
      </c>
      <c r="Z154" s="96"/>
      <c r="AH154" s="99">
        <v>134</v>
      </c>
      <c r="AI154" s="113" t="s">
        <v>4919</v>
      </c>
      <c r="AJ154" s="113">
        <v>1550000</v>
      </c>
      <c r="AK154" s="99">
        <v>2</v>
      </c>
      <c r="AL154" s="20">
        <f t="shared" si="42"/>
        <v>275</v>
      </c>
      <c r="AM154" s="117">
        <f t="shared" si="56"/>
        <v>426250000</v>
      </c>
      <c r="AN154" s="20"/>
    </row>
    <row r="155" spans="7:44">
      <c r="G155" s="181"/>
      <c r="H155" s="181"/>
      <c r="I155" s="181"/>
      <c r="J155" s="181"/>
      <c r="K155">
        <f>I157+32698</f>
        <v>206996</v>
      </c>
      <c r="Q155" s="169">
        <v>2370527</v>
      </c>
      <c r="R155" s="213" t="s">
        <v>5539</v>
      </c>
      <c r="S155" s="213">
        <f>S154</f>
        <v>-7</v>
      </c>
      <c r="T155" s="213" t="s">
        <v>5545</v>
      </c>
      <c r="U155" s="213">
        <v>1531.2</v>
      </c>
      <c r="V155" s="99">
        <f t="shared" si="41"/>
        <v>1546.2519057534248</v>
      </c>
      <c r="W155" s="32">
        <f t="shared" si="54"/>
        <v>1577.1769438684933</v>
      </c>
      <c r="X155" s="32">
        <f t="shared" si="55"/>
        <v>1608.1019819835619</v>
      </c>
      <c r="Y155" s="96"/>
      <c r="Z155" s="96"/>
      <c r="AH155" s="99">
        <v>135</v>
      </c>
      <c r="AI155" s="113" t="s">
        <v>4867</v>
      </c>
      <c r="AJ155" s="113">
        <v>250000</v>
      </c>
      <c r="AK155" s="99">
        <v>6</v>
      </c>
      <c r="AL155" s="20">
        <f t="shared" si="42"/>
        <v>273</v>
      </c>
      <c r="AM155" s="117">
        <f t="shared" si="56"/>
        <v>68250000</v>
      </c>
      <c r="AN155" s="20"/>
    </row>
    <row r="156" spans="7:44">
      <c r="G156" s="213"/>
      <c r="H156" s="213" t="s">
        <v>5515</v>
      </c>
      <c r="I156" s="213" t="s">
        <v>5533</v>
      </c>
      <c r="J156" s="1">
        <v>100000000</v>
      </c>
      <c r="Q156" s="169">
        <v>731606</v>
      </c>
      <c r="R156" s="213" t="s">
        <v>5547</v>
      </c>
      <c r="S156" s="213">
        <f>S155-2</f>
        <v>-9</v>
      </c>
      <c r="T156" s="213" t="s">
        <v>5548</v>
      </c>
      <c r="U156" s="213">
        <v>500.5</v>
      </c>
      <c r="V156" s="99">
        <f t="shared" si="41"/>
        <v>504.65209315068495</v>
      </c>
      <c r="W156" s="32">
        <f t="shared" si="54"/>
        <v>514.7451350136987</v>
      </c>
      <c r="X156" s="32">
        <f t="shared" si="55"/>
        <v>524.8381768767124</v>
      </c>
      <c r="Y156" s="122" t="s">
        <v>25</v>
      </c>
      <c r="Z156" s="96"/>
      <c r="AH156" s="99">
        <v>136</v>
      </c>
      <c r="AI156" s="113" t="s">
        <v>4929</v>
      </c>
      <c r="AJ156" s="113">
        <v>-48527480</v>
      </c>
      <c r="AK156" s="99">
        <v>14</v>
      </c>
      <c r="AL156" s="20">
        <f t="shared" si="42"/>
        <v>267</v>
      </c>
      <c r="AM156" s="117">
        <f t="shared" si="56"/>
        <v>-12956837160</v>
      </c>
      <c r="AN156" s="20" t="s">
        <v>4931</v>
      </c>
    </row>
    <row r="157" spans="7:44">
      <c r="G157" s="1">
        <f>P63</f>
        <v>526.79999999999995</v>
      </c>
      <c r="H157" s="213" t="s">
        <v>4233</v>
      </c>
      <c r="I157" s="213">
        <v>174298</v>
      </c>
      <c r="J157" s="1">
        <f>G157*I157</f>
        <v>91820186.399999991</v>
      </c>
      <c r="Q157" s="169">
        <v>264935</v>
      </c>
      <c r="R157" s="213" t="s">
        <v>5551</v>
      </c>
      <c r="S157" s="213">
        <f>S156-2</f>
        <v>-11</v>
      </c>
      <c r="T157" s="213" t="s">
        <v>5555</v>
      </c>
      <c r="U157" s="213">
        <v>1312</v>
      </c>
      <c r="V157" s="99">
        <f t="shared" si="41"/>
        <v>1320.8712767123291</v>
      </c>
      <c r="W157" s="32">
        <f t="shared" si="54"/>
        <v>1347.2887022465757</v>
      </c>
      <c r="X157" s="32">
        <f t="shared" si="55"/>
        <v>1373.7061277808223</v>
      </c>
      <c r="Y157" s="96"/>
      <c r="Z157" s="96"/>
      <c r="AH157" s="99">
        <v>137</v>
      </c>
      <c r="AI157" s="113" t="s">
        <v>4956</v>
      </c>
      <c r="AJ157" s="113">
        <v>2100000</v>
      </c>
      <c r="AK157" s="99">
        <v>1</v>
      </c>
      <c r="AL157" s="20">
        <f t="shared" si="42"/>
        <v>253</v>
      </c>
      <c r="AM157" s="117">
        <f t="shared" si="56"/>
        <v>531300000</v>
      </c>
      <c r="AN157" s="20"/>
    </row>
    <row r="158" spans="7:44">
      <c r="G158" s="1">
        <f>P65</f>
        <v>611500</v>
      </c>
      <c r="H158" s="213" t="s">
        <v>1082</v>
      </c>
      <c r="I158" s="213">
        <v>0</v>
      </c>
      <c r="J158" s="1">
        <f>G158*I158</f>
        <v>0</v>
      </c>
      <c r="K158" t="s">
        <v>25</v>
      </c>
      <c r="P158" s="114" t="s">
        <v>25</v>
      </c>
      <c r="Q158" s="169">
        <v>84983</v>
      </c>
      <c r="R158" s="213" t="s">
        <v>5551</v>
      </c>
      <c r="S158" s="213">
        <f>S157</f>
        <v>-11</v>
      </c>
      <c r="T158" s="213" t="s">
        <v>5556</v>
      </c>
      <c r="U158" s="213">
        <v>2350</v>
      </c>
      <c r="V158" s="99">
        <f t="shared" ref="V158:V160" si="57">U158*(1+$R$90+$Q$15*S158/36500)</f>
        <v>2365.8898630136991</v>
      </c>
      <c r="W158" s="32">
        <f t="shared" ref="W158:W159" si="58">V158*(1+$W$19/100)</f>
        <v>2413.207660273973</v>
      </c>
      <c r="X158" s="32">
        <f t="shared" ref="X158:X159" si="59">V158*(1+$X$19/100)</f>
        <v>2460.5254575342474</v>
      </c>
      <c r="Y158" s="96"/>
      <c r="Z158" s="96"/>
      <c r="AH158" s="99">
        <v>138</v>
      </c>
      <c r="AI158" s="113" t="s">
        <v>4961</v>
      </c>
      <c r="AJ158" s="113">
        <v>100000</v>
      </c>
      <c r="AK158" s="99">
        <v>4</v>
      </c>
      <c r="AL158" s="20">
        <f>AL159+AK158</f>
        <v>252</v>
      </c>
      <c r="AM158" s="117">
        <f t="shared" si="56"/>
        <v>25200000</v>
      </c>
      <c r="AN158" s="20"/>
      <c r="AQ158" t="s">
        <v>25</v>
      </c>
    </row>
    <row r="159" spans="7:44">
      <c r="G159" s="1">
        <f>P58</f>
        <v>1384.4</v>
      </c>
      <c r="H159" s="213" t="s">
        <v>4519</v>
      </c>
      <c r="I159" s="213">
        <v>5000</v>
      </c>
      <c r="J159" s="1">
        <f>G159*I159</f>
        <v>6922000</v>
      </c>
      <c r="K159" s="96"/>
      <c r="L159" s="96"/>
      <c r="M159" t="s">
        <v>25</v>
      </c>
      <c r="Q159" s="169">
        <v>151117</v>
      </c>
      <c r="R159" s="213" t="s">
        <v>5564</v>
      </c>
      <c r="S159" s="213">
        <f>S158-3</f>
        <v>-14</v>
      </c>
      <c r="T159" s="213" t="s">
        <v>5565</v>
      </c>
      <c r="U159" s="213">
        <v>460</v>
      </c>
      <c r="V159" s="99">
        <f t="shared" si="57"/>
        <v>462.05172602739725</v>
      </c>
      <c r="W159" s="32">
        <f t="shared" si="58"/>
        <v>471.29276054794519</v>
      </c>
      <c r="X159" s="32">
        <f t="shared" si="59"/>
        <v>480.53379506849313</v>
      </c>
      <c r="Y159" s="96" t="s">
        <v>25</v>
      </c>
      <c r="Z159" s="96"/>
      <c r="AH159" s="99">
        <v>139</v>
      </c>
      <c r="AI159" s="113" t="s">
        <v>4967</v>
      </c>
      <c r="AJ159" s="113">
        <v>900000</v>
      </c>
      <c r="AK159" s="99">
        <v>0</v>
      </c>
      <c r="AL159" s="20">
        <f t="shared" ref="AL159:AL168" si="60">AL160+AK159</f>
        <v>248</v>
      </c>
      <c r="AM159" s="117">
        <f t="shared" ref="AM159:AM168" si="61">AJ159*AL159</f>
        <v>223200000</v>
      </c>
      <c r="AN159" s="20"/>
      <c r="AP159" t="s">
        <v>25</v>
      </c>
    </row>
    <row r="160" spans="7:44">
      <c r="G160" s="213">
        <v>1</v>
      </c>
      <c r="H160" s="213" t="s">
        <v>751</v>
      </c>
      <c r="I160" s="213">
        <v>496710</v>
      </c>
      <c r="J160" s="1">
        <f>G160*I160</f>
        <v>496710</v>
      </c>
      <c r="K160">
        <v>171951220</v>
      </c>
      <c r="Q160" s="169"/>
      <c r="R160" s="168"/>
      <c r="S160" s="168"/>
      <c r="T160" s="168"/>
      <c r="U160" s="168"/>
      <c r="V160" s="99">
        <f t="shared" si="57"/>
        <v>0</v>
      </c>
      <c r="W160" s="32">
        <f t="shared" si="54"/>
        <v>0</v>
      </c>
      <c r="X160" s="32">
        <f t="shared" si="55"/>
        <v>0</v>
      </c>
      <c r="Y160" s="96"/>
      <c r="AH160" s="99">
        <v>140</v>
      </c>
      <c r="AI160" s="113" t="s">
        <v>4967</v>
      </c>
      <c r="AJ160" s="113">
        <v>1100000</v>
      </c>
      <c r="AK160" s="99">
        <v>0</v>
      </c>
      <c r="AL160" s="20">
        <f t="shared" si="60"/>
        <v>248</v>
      </c>
      <c r="AM160" s="117">
        <f t="shared" si="61"/>
        <v>272800000</v>
      </c>
      <c r="AN160" s="20" t="s">
        <v>4985</v>
      </c>
      <c r="AQ160" t="s">
        <v>25</v>
      </c>
    </row>
    <row r="161" spans="7:43">
      <c r="G161" s="213"/>
      <c r="H161" s="213"/>
      <c r="I161" s="213"/>
      <c r="J161" s="1"/>
      <c r="K161" s="96">
        <f>I160-K160/10</f>
        <v>-16698412</v>
      </c>
      <c r="L161" s="96"/>
      <c r="Q161" s="113">
        <f>SUM(N51:N65)-SUM(Q94:Q160)</f>
        <v>960756012.2132628</v>
      </c>
      <c r="R161" s="112"/>
      <c r="S161" s="112"/>
      <c r="T161" s="112"/>
      <c r="U161" s="168"/>
      <c r="V161" s="99" t="s">
        <v>25</v>
      </c>
      <c r="W161" s="32"/>
      <c r="X161" s="32"/>
      <c r="Y161" s="96"/>
      <c r="Z161" t="s">
        <v>25</v>
      </c>
      <c r="AH161" s="99">
        <v>141</v>
      </c>
      <c r="AI161" s="113" t="s">
        <v>4967</v>
      </c>
      <c r="AJ161" s="113">
        <v>115000</v>
      </c>
      <c r="AK161" s="99"/>
      <c r="AL161" s="20">
        <f t="shared" si="60"/>
        <v>248</v>
      </c>
      <c r="AM161" s="117">
        <f t="shared" si="61"/>
        <v>28520000</v>
      </c>
      <c r="AN161" s="20"/>
      <c r="AQ161" t="s">
        <v>25</v>
      </c>
    </row>
    <row r="162" spans="7:43">
      <c r="G162" s="213"/>
      <c r="H162" s="213"/>
      <c r="I162" s="213"/>
      <c r="J162" s="1"/>
      <c r="K162" t="s">
        <v>25</v>
      </c>
      <c r="Q162" s="26"/>
      <c r="R162" s="181"/>
      <c r="S162" s="181"/>
      <c r="T162" t="s">
        <v>25</v>
      </c>
      <c r="U162" s="96" t="s">
        <v>25</v>
      </c>
      <c r="V162" s="96" t="s">
        <v>25</v>
      </c>
      <c r="W162" s="96" t="s">
        <v>25</v>
      </c>
      <c r="Y162" s="96"/>
      <c r="AH162" s="99">
        <v>142</v>
      </c>
      <c r="AI162" s="113" t="s">
        <v>4976</v>
      </c>
      <c r="AJ162" s="113">
        <v>-1100000</v>
      </c>
      <c r="AK162" s="99"/>
      <c r="AL162" s="20">
        <f t="shared" si="60"/>
        <v>248</v>
      </c>
      <c r="AM162" s="117">
        <f t="shared" si="61"/>
        <v>-272800000</v>
      </c>
      <c r="AN162" s="20" t="s">
        <v>4986</v>
      </c>
      <c r="AQ162" t="s">
        <v>25</v>
      </c>
    </row>
    <row r="163" spans="7:43">
      <c r="G163" s="213"/>
      <c r="H163" s="213"/>
      <c r="I163" s="1">
        <f>J163-J156</f>
        <v>-761103.60000000894</v>
      </c>
      <c r="J163" s="1">
        <f>SUM(J157:J160)</f>
        <v>99238896.399999991</v>
      </c>
      <c r="R163" s="32" t="s">
        <v>4555</v>
      </c>
      <c r="S163" s="32" t="s">
        <v>947</v>
      </c>
      <c r="T163" t="s">
        <v>25</v>
      </c>
      <c r="U163" s="96" t="s">
        <v>25</v>
      </c>
      <c r="V163" s="96" t="s">
        <v>25</v>
      </c>
      <c r="W163" s="96" t="s">
        <v>25</v>
      </c>
      <c r="X163" s="122" t="s">
        <v>25</v>
      </c>
      <c r="Y163" s="122" t="s">
        <v>25</v>
      </c>
      <c r="AH163" s="99">
        <v>143</v>
      </c>
      <c r="AI163" s="113" t="s">
        <v>4976</v>
      </c>
      <c r="AJ163" s="113">
        <v>900000</v>
      </c>
      <c r="AK163" s="99">
        <v>1</v>
      </c>
      <c r="AL163" s="20">
        <f t="shared" si="60"/>
        <v>248</v>
      </c>
      <c r="AM163" s="117">
        <f t="shared" si="61"/>
        <v>223200000</v>
      </c>
      <c r="AN163" s="20" t="s">
        <v>4985</v>
      </c>
    </row>
    <row r="164" spans="7:43">
      <c r="G164" s="213"/>
      <c r="H164" s="213"/>
      <c r="I164" s="213" t="s">
        <v>914</v>
      </c>
      <c r="J164" s="213" t="s">
        <v>6</v>
      </c>
      <c r="K164" s="283">
        <v>6838383</v>
      </c>
      <c r="L164" s="297">
        <f>I160-K164</f>
        <v>-6341673</v>
      </c>
      <c r="R164" s="32">
        <v>23000</v>
      </c>
      <c r="S164" s="35">
        <v>9103426</v>
      </c>
      <c r="T164" t="s">
        <v>25</v>
      </c>
      <c r="U164" s="96" t="s">
        <v>25</v>
      </c>
      <c r="V164" s="122" t="s">
        <v>25</v>
      </c>
      <c r="W164" s="96" t="s">
        <v>25</v>
      </c>
      <c r="X164" t="s">
        <v>25</v>
      </c>
      <c r="Y164" s="96" t="s">
        <v>25</v>
      </c>
      <c r="AH164" s="99">
        <v>144</v>
      </c>
      <c r="AI164" s="113" t="s">
        <v>4983</v>
      </c>
      <c r="AJ164" s="113">
        <v>2000000</v>
      </c>
      <c r="AK164" s="99">
        <v>0</v>
      </c>
      <c r="AL164" s="20">
        <f t="shared" si="60"/>
        <v>247</v>
      </c>
      <c r="AM164" s="117">
        <f t="shared" si="61"/>
        <v>494000000</v>
      </c>
      <c r="AN164" s="20"/>
    </row>
    <row r="165" spans="7:43">
      <c r="G165" s="181"/>
      <c r="H165" s="181"/>
      <c r="I165" s="181"/>
      <c r="J165" s="181"/>
      <c r="K165">
        <f>I157+13600</f>
        <v>187898</v>
      </c>
      <c r="Q165" t="s">
        <v>25</v>
      </c>
      <c r="R165" s="32">
        <v>250</v>
      </c>
      <c r="S165" s="1">
        <f>S164*R165/R164</f>
        <v>98950.282608695648</v>
      </c>
      <c r="T165" s="114"/>
      <c r="U165" s="96" t="s">
        <v>25</v>
      </c>
      <c r="V165" s="122" t="s">
        <v>25</v>
      </c>
      <c r="W165" s="96" t="s">
        <v>25</v>
      </c>
      <c r="X165" t="s">
        <v>25</v>
      </c>
      <c r="Y165" s="96"/>
      <c r="AH165" s="99">
        <v>145</v>
      </c>
      <c r="AI165" s="113" t="s">
        <v>4983</v>
      </c>
      <c r="AJ165" s="113">
        <v>360000</v>
      </c>
      <c r="AK165" s="99">
        <v>1</v>
      </c>
      <c r="AL165" s="20">
        <f t="shared" si="60"/>
        <v>247</v>
      </c>
      <c r="AM165" s="117">
        <f t="shared" si="61"/>
        <v>88920000</v>
      </c>
      <c r="AN165" s="20"/>
    </row>
    <row r="166" spans="7:43">
      <c r="K166" t="s">
        <v>25</v>
      </c>
      <c r="P166" s="96"/>
      <c r="R166" s="32">
        <f>R164-R165</f>
        <v>22750</v>
      </c>
      <c r="S166" s="1">
        <f>R166*S164/R164</f>
        <v>9004475.7173913047</v>
      </c>
      <c r="T166" t="s">
        <v>25</v>
      </c>
      <c r="U166" s="122" t="s">
        <v>25</v>
      </c>
      <c r="V166" s="96"/>
      <c r="W166" s="122" t="s">
        <v>25</v>
      </c>
      <c r="X166" t="s">
        <v>25</v>
      </c>
      <c r="Y166" t="s">
        <v>25</v>
      </c>
      <c r="Z166" t="s">
        <v>25</v>
      </c>
      <c r="AH166" s="99">
        <v>146</v>
      </c>
      <c r="AI166" s="113" t="s">
        <v>4984</v>
      </c>
      <c r="AJ166" s="113">
        <v>3000000</v>
      </c>
      <c r="AK166" s="99">
        <v>1</v>
      </c>
      <c r="AL166" s="20">
        <f t="shared" si="60"/>
        <v>246</v>
      </c>
      <c r="AM166" s="117">
        <f t="shared" si="61"/>
        <v>738000000</v>
      </c>
      <c r="AN166" s="20"/>
    </row>
    <row r="167" spans="7:43">
      <c r="G167" s="99"/>
      <c r="H167" s="99"/>
      <c r="I167" s="99" t="s">
        <v>5378</v>
      </c>
      <c r="J167" s="1">
        <v>20000000</v>
      </c>
      <c r="P167" s="96"/>
      <c r="V167" s="96"/>
      <c r="W167"/>
      <c r="X167" t="s">
        <v>25</v>
      </c>
      <c r="Y167" t="s">
        <v>25</v>
      </c>
      <c r="AH167" s="99">
        <v>147</v>
      </c>
      <c r="AI167" s="113" t="s">
        <v>4981</v>
      </c>
      <c r="AJ167" s="113">
        <v>-658226</v>
      </c>
      <c r="AK167" s="99">
        <v>1</v>
      </c>
      <c r="AL167" s="20">
        <f t="shared" si="60"/>
        <v>245</v>
      </c>
      <c r="AM167" s="117">
        <f t="shared" si="61"/>
        <v>-161265370</v>
      </c>
      <c r="AN167" s="20"/>
    </row>
    <row r="168" spans="7:43">
      <c r="G168" s="99">
        <f>P63</f>
        <v>526.79999999999995</v>
      </c>
      <c r="H168" s="99" t="s">
        <v>4233</v>
      </c>
      <c r="I168" s="99">
        <v>28777</v>
      </c>
      <c r="J168" s="1">
        <f>G168*I168</f>
        <v>15159723.599999998</v>
      </c>
      <c r="Q168" s="99" t="s">
        <v>4447</v>
      </c>
      <c r="R168" s="99" t="s">
        <v>4449</v>
      </c>
      <c r="S168" s="99"/>
      <c r="T168" s="99" t="s">
        <v>4450</v>
      </c>
      <c r="U168" s="99"/>
      <c r="V168" s="99"/>
      <c r="W168" s="99" t="s">
        <v>4558</v>
      </c>
      <c r="X168" t="s">
        <v>25</v>
      </c>
      <c r="Y168" t="s">
        <v>25</v>
      </c>
      <c r="AH168" s="99">
        <v>148</v>
      </c>
      <c r="AI168" s="113" t="s">
        <v>4987</v>
      </c>
      <c r="AJ168" s="113">
        <v>1000000</v>
      </c>
      <c r="AK168" s="99">
        <v>15</v>
      </c>
      <c r="AL168" s="20">
        <f t="shared" si="60"/>
        <v>244</v>
      </c>
      <c r="AM168" s="117">
        <f t="shared" si="61"/>
        <v>244000000</v>
      </c>
      <c r="AN168" s="20"/>
      <c r="AP168" t="s">
        <v>25</v>
      </c>
    </row>
    <row r="169" spans="7:43">
      <c r="G169" s="99">
        <f>P62</f>
        <v>8677.2999999999993</v>
      </c>
      <c r="H169" s="99" t="s">
        <v>4383</v>
      </c>
      <c r="I169" s="99">
        <v>1150</v>
      </c>
      <c r="J169" s="1">
        <f>G169*I169</f>
        <v>9978895</v>
      </c>
      <c r="Q169" s="113">
        <v>1000</v>
      </c>
      <c r="R169" s="99">
        <v>0.25</v>
      </c>
      <c r="S169" s="99"/>
      <c r="T169" s="99">
        <f>1-R169</f>
        <v>0.75</v>
      </c>
      <c r="U169" s="99"/>
      <c r="V169" s="99"/>
      <c r="W169" s="99"/>
      <c r="Y169" t="s">
        <v>25</v>
      </c>
      <c r="AH169" s="99">
        <v>149</v>
      </c>
      <c r="AI169" s="113" t="s">
        <v>5022</v>
      </c>
      <c r="AJ169" s="113">
        <v>1130250</v>
      </c>
      <c r="AK169" s="99">
        <v>5</v>
      </c>
      <c r="AL169" s="20">
        <f t="shared" si="42"/>
        <v>229</v>
      </c>
      <c r="AM169" s="117">
        <f t="shared" si="56"/>
        <v>258827250</v>
      </c>
      <c r="AN169" s="20"/>
    </row>
    <row r="170" spans="7:43">
      <c r="G170" s="99">
        <f>P52</f>
        <v>78000</v>
      </c>
      <c r="H170" s="99" t="s">
        <v>5361</v>
      </c>
      <c r="I170" s="99">
        <v>52</v>
      </c>
      <c r="J170" s="1">
        <f>G170*I170</f>
        <v>4056000</v>
      </c>
      <c r="Q170" s="168" t="s">
        <v>4434</v>
      </c>
      <c r="R170" s="168" t="s">
        <v>4452</v>
      </c>
      <c r="S170" s="168" t="s">
        <v>4453</v>
      </c>
      <c r="T170" s="168"/>
      <c r="U170" s="168" t="s">
        <v>4448</v>
      </c>
      <c r="V170" s="56" t="s">
        <v>4451</v>
      </c>
      <c r="W170" s="99"/>
      <c r="X170" s="8" t="s">
        <v>25</v>
      </c>
      <c r="Y170" t="s">
        <v>25</v>
      </c>
      <c r="AE170" s="96" t="s">
        <v>25</v>
      </c>
      <c r="AH170" s="99">
        <v>150</v>
      </c>
      <c r="AI170" s="113" t="s">
        <v>5037</v>
      </c>
      <c r="AJ170" s="113">
        <v>206000</v>
      </c>
      <c r="AK170" s="99">
        <v>2</v>
      </c>
      <c r="AL170" s="20">
        <f t="shared" si="42"/>
        <v>224</v>
      </c>
      <c r="AM170" s="117">
        <f t="shared" si="56"/>
        <v>46144000</v>
      </c>
      <c r="AN170" s="20"/>
    </row>
    <row r="171" spans="7:43">
      <c r="G171" s="99"/>
      <c r="H171" s="99" t="s">
        <v>5363</v>
      </c>
      <c r="I171" s="99">
        <v>0</v>
      </c>
      <c r="J171" s="1">
        <f>I171</f>
        <v>0</v>
      </c>
      <c r="K171" t="s">
        <v>25</v>
      </c>
      <c r="P171" s="114"/>
      <c r="Q171" s="168" t="s">
        <v>749</v>
      </c>
      <c r="R171" s="56">
        <v>1552738</v>
      </c>
      <c r="S171" s="113">
        <f>R171*$T$355</f>
        <v>1303217106.475965</v>
      </c>
      <c r="T171" s="168"/>
      <c r="U171" s="168">
        <f>$Q$169*$T$169*S171/$R$198</f>
        <v>329.94595877975752</v>
      </c>
      <c r="V171" s="95">
        <f>S171+U171</f>
        <v>1303217436.4219239</v>
      </c>
      <c r="W171" s="99">
        <f>R171*100/U352</f>
        <v>43.992794503967673</v>
      </c>
      <c r="X171" s="217"/>
      <c r="Z171" t="s">
        <v>25</v>
      </c>
      <c r="AH171" s="99">
        <v>151</v>
      </c>
      <c r="AI171" s="113" t="s">
        <v>5044</v>
      </c>
      <c r="AJ171" s="113">
        <v>50000</v>
      </c>
      <c r="AK171" s="99">
        <v>2</v>
      </c>
      <c r="AL171" s="20">
        <f t="shared" si="42"/>
        <v>222</v>
      </c>
      <c r="AM171" s="117">
        <f t="shared" si="56"/>
        <v>11100000</v>
      </c>
      <c r="AN171" s="20"/>
    </row>
    <row r="172" spans="7:43">
      <c r="G172" s="99"/>
      <c r="H172" s="99"/>
      <c r="I172" s="276">
        <f>J168+J169+J170+J171-J167</f>
        <v>9194618.5999999978</v>
      </c>
      <c r="J172" s="1"/>
      <c r="P172" s="114"/>
      <c r="Q172" s="168" t="s">
        <v>4436</v>
      </c>
      <c r="R172" s="56">
        <v>1808563</v>
      </c>
      <c r="S172" s="113">
        <f>R172*$T$355</f>
        <v>1517931704.9878926</v>
      </c>
      <c r="T172" s="168"/>
      <c r="U172" s="213">
        <f>$Q$169*$T$169*S172/$R$198</f>
        <v>384.30698099009265</v>
      </c>
      <c r="V172" s="95">
        <f t="shared" ref="V172:V173" si="62">S172+U172</f>
        <v>1517932089.2948737</v>
      </c>
      <c r="W172" s="99">
        <f>R172*100/U352</f>
        <v>51.240930798679031</v>
      </c>
      <c r="X172" s="115"/>
      <c r="Y172" t="s">
        <v>25</v>
      </c>
      <c r="AH172" s="99">
        <v>152</v>
      </c>
      <c r="AI172" s="113" t="s">
        <v>5049</v>
      </c>
      <c r="AJ172" s="113">
        <v>105000</v>
      </c>
      <c r="AK172" s="99">
        <v>4</v>
      </c>
      <c r="AL172" s="20">
        <f t="shared" si="42"/>
        <v>220</v>
      </c>
      <c r="AM172" s="117">
        <f t="shared" si="56"/>
        <v>23100000</v>
      </c>
      <c r="AN172" s="20"/>
    </row>
    <row r="173" spans="7:43">
      <c r="P173" s="114"/>
      <c r="Q173" s="168" t="s">
        <v>4435</v>
      </c>
      <c r="R173" s="56">
        <v>50368</v>
      </c>
      <c r="S173" s="113">
        <f>R173*$T$355</f>
        <v>42273995.496330611</v>
      </c>
      <c r="T173" s="168"/>
      <c r="U173" s="213">
        <f>$Q$169*$T$169*S173/$R$198</f>
        <v>10.702847519555023</v>
      </c>
      <c r="V173" s="95">
        <f t="shared" si="62"/>
        <v>42274006.199178129</v>
      </c>
      <c r="W173" s="99">
        <f>R173*100/U352</f>
        <v>1.4270463359406698</v>
      </c>
      <c r="X173" s="115"/>
      <c r="Y173" t="s">
        <v>25</v>
      </c>
      <c r="AH173" s="99">
        <v>153</v>
      </c>
      <c r="AI173" s="113" t="s">
        <v>5054</v>
      </c>
      <c r="AJ173" s="113">
        <v>5000000</v>
      </c>
      <c r="AK173" s="99">
        <v>1</v>
      </c>
      <c r="AL173" s="20">
        <f t="shared" si="42"/>
        <v>216</v>
      </c>
      <c r="AM173" s="117">
        <f t="shared" si="56"/>
        <v>1080000000</v>
      </c>
      <c r="AN173" s="20"/>
    </row>
    <row r="174" spans="7:43">
      <c r="Q174" s="168" t="s">
        <v>1083</v>
      </c>
      <c r="R174" s="56">
        <v>115465</v>
      </c>
      <c r="S174" s="113">
        <f>R174*$T$355</f>
        <v>96910079.613719314</v>
      </c>
      <c r="T174" s="168"/>
      <c r="U174" s="213">
        <f>$Q$169*$T$169*S174/$R$198</f>
        <v>24.535504464052988</v>
      </c>
      <c r="V174" s="95">
        <f>S174+U174</f>
        <v>96910104.149223775</v>
      </c>
      <c r="W174" s="99">
        <f>R174*100/U352</f>
        <v>3.2714005952070644</v>
      </c>
      <c r="X174" s="115"/>
      <c r="Y174" t="s">
        <v>25</v>
      </c>
      <c r="Z174" t="s">
        <v>25</v>
      </c>
      <c r="AH174" s="99">
        <v>154</v>
      </c>
      <c r="AI174" s="113" t="s">
        <v>5055</v>
      </c>
      <c r="AJ174" s="113">
        <v>2500000</v>
      </c>
      <c r="AK174" s="99">
        <v>2</v>
      </c>
      <c r="AL174" s="20">
        <f t="shared" si="42"/>
        <v>215</v>
      </c>
      <c r="AM174" s="117">
        <f t="shared" si="56"/>
        <v>537500000</v>
      </c>
      <c r="AN174" s="20"/>
    </row>
    <row r="175" spans="7:43">
      <c r="I175">
        <f>39042-I168</f>
        <v>10265</v>
      </c>
      <c r="J175" s="114">
        <f>I175*$G$168</f>
        <v>5407601.9999999991</v>
      </c>
      <c r="K175" s="114">
        <f>J176-J170</f>
        <v>1268510.7315599993</v>
      </c>
      <c r="L175" t="s">
        <v>25</v>
      </c>
      <c r="Q175" s="168" t="s">
        <v>5546</v>
      </c>
      <c r="R175" s="56">
        <v>2394</v>
      </c>
      <c r="S175" s="168">
        <f>R175*$T$355</f>
        <v>2009290.5260922706</v>
      </c>
      <c r="T175" s="168"/>
      <c r="U175" s="168">
        <f>$Q$169*$T$169*S175/$R$198</f>
        <v>0.50870824654174718</v>
      </c>
      <c r="V175" s="95">
        <f>S175+U175</f>
        <v>2009291.0348005171</v>
      </c>
      <c r="W175" s="99">
        <f>R175*100/U352</f>
        <v>6.7827766205566298E-2</v>
      </c>
      <c r="X175" s="114">
        <f>S174-I172-J167</f>
        <v>67715461.01371932</v>
      </c>
      <c r="Z175" t="s">
        <v>25</v>
      </c>
      <c r="AH175" s="268">
        <v>155</v>
      </c>
      <c r="AI175" s="264" t="s">
        <v>5061</v>
      </c>
      <c r="AJ175" s="264">
        <v>-50000000</v>
      </c>
      <c r="AK175" s="268">
        <v>7</v>
      </c>
      <c r="AL175" s="268">
        <f t="shared" si="42"/>
        <v>213</v>
      </c>
      <c r="AM175" s="264">
        <f t="shared" si="56"/>
        <v>-10650000000</v>
      </c>
      <c r="AN175" s="268" t="s">
        <v>5069</v>
      </c>
    </row>
    <row r="176" spans="7:43">
      <c r="I176">
        <v>10107.271699999999</v>
      </c>
      <c r="J176" s="114">
        <f>I176*$G$168</f>
        <v>5324510.7315599993</v>
      </c>
      <c r="Q176" s="168"/>
      <c r="R176" s="168"/>
      <c r="S176" s="168"/>
      <c r="T176" s="168"/>
      <c r="U176" s="168"/>
      <c r="V176" s="168"/>
      <c r="W176" s="99"/>
      <c r="X176" s="96"/>
      <c r="Z176" t="s">
        <v>25</v>
      </c>
      <c r="AH176" s="99">
        <v>156</v>
      </c>
      <c r="AI176" s="113" t="s">
        <v>5067</v>
      </c>
      <c r="AJ176" s="113">
        <v>10000000</v>
      </c>
      <c r="AK176" s="99">
        <v>12</v>
      </c>
      <c r="AL176" s="20">
        <f t="shared" si="42"/>
        <v>206</v>
      </c>
      <c r="AM176" s="117">
        <f t="shared" si="56"/>
        <v>2060000000</v>
      </c>
      <c r="AN176" s="20" t="s">
        <v>4736</v>
      </c>
    </row>
    <row r="177" spans="9:44">
      <c r="I177">
        <f>I175-I176</f>
        <v>157.72830000000067</v>
      </c>
      <c r="J177" s="114">
        <f>I177*$G$168</f>
        <v>83091.268440000349</v>
      </c>
      <c r="P177" s="114"/>
      <c r="Q177" s="99"/>
      <c r="R177" s="99"/>
      <c r="S177" s="99"/>
      <c r="T177" s="99" t="s">
        <v>25</v>
      </c>
      <c r="U177" s="99"/>
      <c r="V177" s="99"/>
      <c r="W177" s="99"/>
      <c r="X177" s="96"/>
      <c r="AH177" s="99">
        <v>157</v>
      </c>
      <c r="AI177" s="113" t="s">
        <v>5074</v>
      </c>
      <c r="AJ177" s="113">
        <v>-16266000</v>
      </c>
      <c r="AK177" s="99">
        <v>1</v>
      </c>
      <c r="AL177" s="20">
        <f t="shared" si="42"/>
        <v>194</v>
      </c>
      <c r="AM177" s="117">
        <f t="shared" si="56"/>
        <v>-3155604000</v>
      </c>
      <c r="AN177" s="20" t="s">
        <v>5083</v>
      </c>
      <c r="AQ177" t="s">
        <v>25</v>
      </c>
    </row>
    <row r="178" spans="9:44">
      <c r="Q178" s="99"/>
      <c r="R178" s="99"/>
      <c r="S178" s="99"/>
      <c r="T178" s="99"/>
      <c r="U178" s="99"/>
      <c r="V178" s="99"/>
      <c r="W178" s="99"/>
      <c r="X178" s="96"/>
      <c r="Y178" t="s">
        <v>25</v>
      </c>
      <c r="AH178" s="99">
        <v>158</v>
      </c>
      <c r="AI178" s="113" t="s">
        <v>5084</v>
      </c>
      <c r="AJ178" s="113">
        <v>1000000</v>
      </c>
      <c r="AK178" s="99">
        <v>6</v>
      </c>
      <c r="AL178" s="20">
        <f t="shared" ref="AL178:AL181" si="63">AL179+AK178</f>
        <v>193</v>
      </c>
      <c r="AM178" s="117">
        <f t="shared" ref="AM178:AM181" si="64">AJ178*AL178</f>
        <v>193000000</v>
      </c>
      <c r="AN178" s="20"/>
    </row>
    <row r="179" spans="9:44">
      <c r="P179" s="114"/>
      <c r="Q179" s="99"/>
      <c r="R179" s="99"/>
      <c r="S179" s="99"/>
      <c r="T179" s="99"/>
      <c r="U179" s="99"/>
      <c r="V179" s="99"/>
      <c r="W179" s="99"/>
      <c r="X179" s="96"/>
      <c r="Y179" t="s">
        <v>25</v>
      </c>
      <c r="AH179" s="99">
        <v>159</v>
      </c>
      <c r="AI179" s="113" t="s">
        <v>5092</v>
      </c>
      <c r="AJ179" s="113">
        <v>40000</v>
      </c>
      <c r="AK179" s="99">
        <v>5</v>
      </c>
      <c r="AL179" s="20">
        <f t="shared" si="63"/>
        <v>187</v>
      </c>
      <c r="AM179" s="117">
        <f t="shared" si="64"/>
        <v>7480000</v>
      </c>
      <c r="AN179" s="20"/>
    </row>
    <row r="180" spans="9:44">
      <c r="K180" s="96"/>
      <c r="L180" s="96"/>
      <c r="O180" s="96"/>
      <c r="Q180" s="96"/>
      <c r="R180" s="96"/>
      <c r="S180" s="96"/>
      <c r="T180" s="96"/>
      <c r="V180" s="96"/>
      <c r="X180" s="115"/>
      <c r="AB180" t="s">
        <v>25</v>
      </c>
      <c r="AH180" s="99">
        <v>160</v>
      </c>
      <c r="AI180" s="113" t="s">
        <v>5104</v>
      </c>
      <c r="AJ180" s="113">
        <v>120000</v>
      </c>
      <c r="AK180" s="99">
        <v>6</v>
      </c>
      <c r="AL180" s="20">
        <f t="shared" si="63"/>
        <v>182</v>
      </c>
      <c r="AM180" s="117">
        <f t="shared" si="64"/>
        <v>21840000</v>
      </c>
      <c r="AN180" s="20"/>
    </row>
    <row r="181" spans="9:44">
      <c r="J181" t="s">
        <v>25</v>
      </c>
      <c r="K181" s="96"/>
      <c r="L181" s="96"/>
      <c r="O181" s="96"/>
      <c r="P181" s="114"/>
      <c r="Q181" s="99" t="s">
        <v>5016</v>
      </c>
      <c r="R181" s="95">
        <f>S171-R186</f>
        <v>368666115.87596512</v>
      </c>
      <c r="S181" s="96"/>
      <c r="T181" s="96"/>
      <c r="V181" s="96"/>
      <c r="Y181" t="s">
        <v>25</v>
      </c>
      <c r="Z181" t="s">
        <v>25</v>
      </c>
      <c r="AH181" s="99">
        <v>161</v>
      </c>
      <c r="AI181" s="113" t="s">
        <v>5097</v>
      </c>
      <c r="AJ181" s="113">
        <v>249000</v>
      </c>
      <c r="AK181" s="99">
        <v>9</v>
      </c>
      <c r="AL181" s="20">
        <f t="shared" si="63"/>
        <v>176</v>
      </c>
      <c r="AM181" s="117">
        <f t="shared" si="64"/>
        <v>43824000</v>
      </c>
      <c r="AN181" s="20"/>
    </row>
    <row r="182" spans="9:44">
      <c r="K182" s="96"/>
      <c r="L182" s="96"/>
      <c r="P182" s="114"/>
      <c r="Q182" s="99" t="s">
        <v>5017</v>
      </c>
      <c r="R182" s="95">
        <f>S174+S173-R187</f>
        <v>32872507.710049942</v>
      </c>
      <c r="S182" s="96"/>
      <c r="T182" s="96" t="s">
        <v>25</v>
      </c>
      <c r="V182" s="96"/>
      <c r="Y182" t="s">
        <v>25</v>
      </c>
      <c r="AH182" s="99">
        <v>162</v>
      </c>
      <c r="AI182" s="113" t="s">
        <v>5126</v>
      </c>
      <c r="AJ182" s="113">
        <v>65000</v>
      </c>
      <c r="AK182" s="99">
        <v>7</v>
      </c>
      <c r="AL182" s="20">
        <f t="shared" ref="AL182" si="65">AL183+AK182</f>
        <v>167</v>
      </c>
      <c r="AM182" s="117">
        <f t="shared" ref="AM182" si="66">AJ182*AL182</f>
        <v>10855000</v>
      </c>
      <c r="AN182" s="20"/>
    </row>
    <row r="183" spans="9:44">
      <c r="K183" s="96"/>
      <c r="L183" s="96"/>
      <c r="Q183" s="96"/>
      <c r="R183" s="96"/>
      <c r="S183" s="96"/>
      <c r="T183" s="96"/>
      <c r="V183" s="96"/>
      <c r="Z183" t="s">
        <v>25</v>
      </c>
      <c r="AH183" s="99">
        <v>163</v>
      </c>
      <c r="AI183" s="113" t="s">
        <v>5136</v>
      </c>
      <c r="AJ183" s="113">
        <v>-312598</v>
      </c>
      <c r="AK183" s="99">
        <v>0</v>
      </c>
      <c r="AL183" s="20">
        <f t="shared" ref="AL183:AL190" si="67">AL184+AK183</f>
        <v>160</v>
      </c>
      <c r="AM183" s="117">
        <f t="shared" ref="AM183:AM190" si="68">AJ183*AL183</f>
        <v>-50015680</v>
      </c>
      <c r="AN183" s="20"/>
      <c r="AO183" t="s">
        <v>25</v>
      </c>
      <c r="AQ183" t="s">
        <v>25</v>
      </c>
    </row>
    <row r="184" spans="9:44">
      <c r="K184" s="96"/>
      <c r="L184" s="96"/>
      <c r="Q184" s="96"/>
      <c r="R184" s="96"/>
      <c r="S184" s="96"/>
      <c r="T184" s="99" t="s">
        <v>180</v>
      </c>
      <c r="U184" s="99" t="s">
        <v>4469</v>
      </c>
      <c r="V184" s="99" t="s">
        <v>4470</v>
      </c>
      <c r="W184" s="99" t="s">
        <v>4480</v>
      </c>
      <c r="X184" s="99" t="s">
        <v>8</v>
      </c>
      <c r="AH184" s="99">
        <v>164</v>
      </c>
      <c r="AI184" s="113" t="s">
        <v>5136</v>
      </c>
      <c r="AJ184" s="113">
        <v>50000</v>
      </c>
      <c r="AK184" s="99">
        <v>6</v>
      </c>
      <c r="AL184" s="20">
        <f t="shared" si="67"/>
        <v>160</v>
      </c>
      <c r="AM184" s="117">
        <f t="shared" si="68"/>
        <v>8000000</v>
      </c>
      <c r="AN184" s="20"/>
      <c r="AR184" t="s">
        <v>25</v>
      </c>
    </row>
    <row r="185" spans="9:44">
      <c r="K185" s="96"/>
      <c r="L185" s="96"/>
      <c r="M185" t="s">
        <v>25</v>
      </c>
      <c r="P185" s="114"/>
      <c r="Q185" s="36" t="s">
        <v>4554</v>
      </c>
      <c r="R185" s="95">
        <f>SUM(N51:N65)</f>
        <v>1920783044.0999999</v>
      </c>
      <c r="T185" s="113" t="s">
        <v>4446</v>
      </c>
      <c r="U185" s="56">
        <v>1000000</v>
      </c>
      <c r="V185" s="113">
        <v>239.024</v>
      </c>
      <c r="W185" s="113">
        <f t="shared" ref="W185:W286" si="69">U185*V185</f>
        <v>239024000</v>
      </c>
      <c r="X185" s="99"/>
      <c r="Y185" t="s">
        <v>25</v>
      </c>
      <c r="Z185" t="s">
        <v>25</v>
      </c>
      <c r="AH185" s="99">
        <v>165</v>
      </c>
      <c r="AI185" s="113" t="s">
        <v>5146</v>
      </c>
      <c r="AJ185" s="113">
        <v>-200000</v>
      </c>
      <c r="AK185" s="99">
        <v>0</v>
      </c>
      <c r="AL185" s="20">
        <f t="shared" si="67"/>
        <v>154</v>
      </c>
      <c r="AM185" s="117">
        <f t="shared" si="68"/>
        <v>-30800000</v>
      </c>
      <c r="AN185" s="20" t="s">
        <v>5147</v>
      </c>
    </row>
    <row r="186" spans="9:44">
      <c r="P186" s="117"/>
      <c r="Q186" s="99" t="s">
        <v>4437</v>
      </c>
      <c r="R186" s="95">
        <f>SUM(N21:N28)</f>
        <v>934550990.5999999</v>
      </c>
      <c r="T186" s="168" t="s">
        <v>4428</v>
      </c>
      <c r="U186" s="56">
        <v>5904</v>
      </c>
      <c r="V186" s="113">
        <v>237.148</v>
      </c>
      <c r="W186" s="113">
        <f t="shared" si="69"/>
        <v>1400121.7919999999</v>
      </c>
      <c r="X186" s="99" t="s">
        <v>749</v>
      </c>
      <c r="AH186" s="99">
        <v>166</v>
      </c>
      <c r="AI186" s="113" t="s">
        <v>5146</v>
      </c>
      <c r="AJ186" s="113">
        <v>200000</v>
      </c>
      <c r="AK186" s="99">
        <v>3</v>
      </c>
      <c r="AL186" s="20">
        <f t="shared" si="67"/>
        <v>154</v>
      </c>
      <c r="AM186" s="117">
        <f t="shared" si="68"/>
        <v>30800000</v>
      </c>
      <c r="AN186" s="20"/>
      <c r="AQ186" t="s">
        <v>25</v>
      </c>
      <c r="AR186" t="s">
        <v>25</v>
      </c>
    </row>
    <row r="187" spans="9:44">
      <c r="P187" s="114"/>
      <c r="Q187" s="99" t="s">
        <v>4438</v>
      </c>
      <c r="R187" s="95">
        <f>SUM(N31:N38)</f>
        <v>106311567.39999999</v>
      </c>
      <c r="T187" s="168" t="s">
        <v>4222</v>
      </c>
      <c r="U187" s="168">
        <v>1000</v>
      </c>
      <c r="V187" s="113">
        <v>247.393</v>
      </c>
      <c r="W187" s="113">
        <f t="shared" si="69"/>
        <v>247393</v>
      </c>
      <c r="X187" s="99" t="s">
        <v>749</v>
      </c>
      <c r="Y187" t="s">
        <v>25</v>
      </c>
      <c r="Z187" t="s">
        <v>25</v>
      </c>
      <c r="AH187" s="99">
        <v>167</v>
      </c>
      <c r="AI187" s="113" t="s">
        <v>5153</v>
      </c>
      <c r="AJ187" s="113">
        <v>200000</v>
      </c>
      <c r="AK187" s="99">
        <v>3</v>
      </c>
      <c r="AL187" s="20">
        <f t="shared" si="67"/>
        <v>151</v>
      </c>
      <c r="AM187" s="117">
        <f t="shared" si="68"/>
        <v>30200000</v>
      </c>
      <c r="AN187" s="20"/>
    </row>
    <row r="188" spans="9:44">
      <c r="I188" s="96"/>
      <c r="J188" s="96"/>
      <c r="K188" s="96"/>
      <c r="L188" s="96"/>
      <c r="P188" s="114"/>
      <c r="Q188" s="99" t="s">
        <v>4439</v>
      </c>
      <c r="R188" s="95">
        <f>N49</f>
        <v>33</v>
      </c>
      <c r="T188" s="168" t="s">
        <v>4481</v>
      </c>
      <c r="U188" s="168">
        <v>8071</v>
      </c>
      <c r="V188" s="113">
        <v>247.797</v>
      </c>
      <c r="W188" s="113">
        <f t="shared" si="69"/>
        <v>1999969.5870000001</v>
      </c>
      <c r="X188" s="99" t="s">
        <v>4435</v>
      </c>
      <c r="AH188" s="99">
        <v>168</v>
      </c>
      <c r="AI188" s="113" t="s">
        <v>5156</v>
      </c>
      <c r="AJ188" s="113">
        <v>30000</v>
      </c>
      <c r="AK188" s="99">
        <v>7</v>
      </c>
      <c r="AL188" s="20">
        <f t="shared" si="67"/>
        <v>148</v>
      </c>
      <c r="AM188" s="117">
        <f t="shared" si="68"/>
        <v>4440000</v>
      </c>
      <c r="AN188" s="20"/>
    </row>
    <row r="189" spans="9:44">
      <c r="P189" s="114"/>
      <c r="Q189" s="99" t="s">
        <v>4440</v>
      </c>
      <c r="R189" s="95">
        <f>N20</f>
        <v>192</v>
      </c>
      <c r="T189" s="168" t="s">
        <v>4481</v>
      </c>
      <c r="U189" s="168">
        <v>53672</v>
      </c>
      <c r="V189" s="113">
        <v>247.797</v>
      </c>
      <c r="W189" s="113">
        <f t="shared" si="69"/>
        <v>13299760.584000001</v>
      </c>
      <c r="X189" s="99" t="s">
        <v>452</v>
      </c>
      <c r="Y189" t="s">
        <v>25</v>
      </c>
      <c r="AH189" s="99">
        <v>169</v>
      </c>
      <c r="AI189" s="113" t="s">
        <v>5114</v>
      </c>
      <c r="AJ189" s="113">
        <v>-10000000</v>
      </c>
      <c r="AK189" s="99">
        <v>0</v>
      </c>
      <c r="AL189" s="20">
        <f t="shared" si="67"/>
        <v>141</v>
      </c>
      <c r="AM189" s="117">
        <f t="shared" si="68"/>
        <v>-1410000000</v>
      </c>
      <c r="AN189" s="20" t="s">
        <v>5069</v>
      </c>
    </row>
    <row r="190" spans="9:44">
      <c r="Q190" s="99" t="s">
        <v>4441</v>
      </c>
      <c r="R190" s="95">
        <f>N30</f>
        <v>358</v>
      </c>
      <c r="T190" s="168" t="s">
        <v>4489</v>
      </c>
      <c r="U190" s="168">
        <v>4099</v>
      </c>
      <c r="V190" s="113">
        <v>243.93</v>
      </c>
      <c r="W190" s="113">
        <f t="shared" si="69"/>
        <v>999869.07000000007</v>
      </c>
      <c r="X190" s="99" t="s">
        <v>4435</v>
      </c>
      <c r="Y190" t="s">
        <v>25</v>
      </c>
      <c r="AH190" s="99">
        <v>170</v>
      </c>
      <c r="AI190" s="113" t="s">
        <v>5114</v>
      </c>
      <c r="AJ190" s="113">
        <v>6000000</v>
      </c>
      <c r="AK190" s="99">
        <v>8</v>
      </c>
      <c r="AL190" s="20">
        <f t="shared" si="67"/>
        <v>141</v>
      </c>
      <c r="AM190" s="117">
        <f t="shared" si="68"/>
        <v>846000000</v>
      </c>
      <c r="AN190" s="20"/>
      <c r="AP190" t="s">
        <v>25</v>
      </c>
    </row>
    <row r="191" spans="9:44">
      <c r="Q191" s="99" t="s">
        <v>5559</v>
      </c>
      <c r="R191" s="95">
        <v>695992</v>
      </c>
      <c r="T191" s="168" t="s">
        <v>4489</v>
      </c>
      <c r="U191" s="168">
        <v>9301</v>
      </c>
      <c r="V191" s="113">
        <v>243.93</v>
      </c>
      <c r="W191" s="113">
        <f t="shared" si="69"/>
        <v>2268792.9300000002</v>
      </c>
      <c r="X191" s="99" t="s">
        <v>452</v>
      </c>
      <c r="Y191" t="s">
        <v>25</v>
      </c>
      <c r="AH191" s="99">
        <v>171</v>
      </c>
      <c r="AI191" s="113" t="s">
        <v>5183</v>
      </c>
      <c r="AJ191" s="113">
        <v>150000</v>
      </c>
      <c r="AK191" s="99">
        <v>7</v>
      </c>
      <c r="AL191" s="20">
        <f t="shared" ref="AL191:AL228" si="70">AL192+AK191</f>
        <v>133</v>
      </c>
      <c r="AM191" s="117">
        <f t="shared" ref="AM191:AM228" si="71">AJ191*AL191</f>
        <v>19950000</v>
      </c>
      <c r="AN191" s="20"/>
    </row>
    <row r="192" spans="9:44">
      <c r="I192" s="96"/>
      <c r="J192" s="96"/>
      <c r="Q192" s="99"/>
      <c r="R192" s="95"/>
      <c r="T192" s="168" t="s">
        <v>4495</v>
      </c>
      <c r="U192" s="168">
        <v>8334</v>
      </c>
      <c r="V192" s="113">
        <v>239.97</v>
      </c>
      <c r="W192" s="113">
        <f t="shared" si="69"/>
        <v>1999909.98</v>
      </c>
      <c r="X192" s="99" t="s">
        <v>4435</v>
      </c>
      <c r="AH192" s="99">
        <v>172</v>
      </c>
      <c r="AI192" s="113" t="s">
        <v>5219</v>
      </c>
      <c r="AJ192" s="113">
        <v>400000</v>
      </c>
      <c r="AK192" s="99">
        <v>1</v>
      </c>
      <c r="AL192" s="20">
        <f t="shared" si="70"/>
        <v>126</v>
      </c>
      <c r="AM192" s="117">
        <f t="shared" si="71"/>
        <v>50400000</v>
      </c>
      <c r="AN192" s="20"/>
    </row>
    <row r="193" spans="9:45">
      <c r="Q193" s="99" t="s">
        <v>5163</v>
      </c>
      <c r="R193" s="95">
        <v>0</v>
      </c>
      <c r="T193" s="168" t="s">
        <v>4221</v>
      </c>
      <c r="U193" s="168">
        <v>29041</v>
      </c>
      <c r="V193" s="113">
        <v>233.45</v>
      </c>
      <c r="W193" s="113">
        <f t="shared" si="69"/>
        <v>6779621.4499999993</v>
      </c>
      <c r="X193" s="99" t="s">
        <v>749</v>
      </c>
      <c r="AH193" s="99">
        <v>173</v>
      </c>
      <c r="AI193" s="113" t="s">
        <v>5223</v>
      </c>
      <c r="AJ193" s="113">
        <v>-100000</v>
      </c>
      <c r="AK193" s="99">
        <v>1</v>
      </c>
      <c r="AL193" s="20">
        <f t="shared" si="70"/>
        <v>125</v>
      </c>
      <c r="AM193" s="117">
        <f t="shared" si="71"/>
        <v>-12500000</v>
      </c>
      <c r="AN193" s="20"/>
    </row>
    <row r="194" spans="9:45">
      <c r="Q194" s="99" t="s">
        <v>5510</v>
      </c>
      <c r="R194" s="95">
        <v>0</v>
      </c>
      <c r="S194" s="115"/>
      <c r="T194" s="168" t="s">
        <v>991</v>
      </c>
      <c r="U194" s="168">
        <v>12337</v>
      </c>
      <c r="V194" s="113">
        <v>243.16300000000001</v>
      </c>
      <c r="W194" s="113">
        <f t="shared" si="69"/>
        <v>2999901.9310000003</v>
      </c>
      <c r="X194" s="99" t="s">
        <v>4435</v>
      </c>
      <c r="Y194" t="s">
        <v>25</v>
      </c>
      <c r="AH194" s="99">
        <v>174</v>
      </c>
      <c r="AI194" s="113" t="s">
        <v>5227</v>
      </c>
      <c r="AJ194" s="113">
        <v>10000000</v>
      </c>
      <c r="AK194" s="99">
        <v>1</v>
      </c>
      <c r="AL194" s="20">
        <f t="shared" si="70"/>
        <v>124</v>
      </c>
      <c r="AM194" s="117">
        <f t="shared" si="71"/>
        <v>1240000000</v>
      </c>
      <c r="AN194" s="20" t="s">
        <v>4736</v>
      </c>
      <c r="AS194" t="s">
        <v>25</v>
      </c>
    </row>
    <row r="195" spans="9:45">
      <c r="Q195" s="99"/>
      <c r="R195" s="95"/>
      <c r="S195" s="122"/>
      <c r="T195" s="168" t="s">
        <v>4575</v>
      </c>
      <c r="U195" s="168">
        <v>-16118</v>
      </c>
      <c r="V195" s="113">
        <v>248.17</v>
      </c>
      <c r="W195" s="113">
        <f t="shared" si="69"/>
        <v>-4000004.0599999996</v>
      </c>
      <c r="X195" s="99" t="s">
        <v>749</v>
      </c>
      <c r="AH195" s="99">
        <v>175</v>
      </c>
      <c r="AI195" s="113" t="s">
        <v>5232</v>
      </c>
      <c r="AJ195" s="113">
        <v>-400000</v>
      </c>
      <c r="AK195" s="99">
        <v>6</v>
      </c>
      <c r="AL195" s="20">
        <f t="shared" ref="AL195:AL203" si="72">AL196+AK195</f>
        <v>123</v>
      </c>
      <c r="AM195" s="117">
        <f t="shared" ref="AM195:AM203" si="73">AJ195*AL195</f>
        <v>-49200000</v>
      </c>
      <c r="AN195" s="20"/>
    </row>
    <row r="196" spans="9:45">
      <c r="I196" s="99"/>
      <c r="J196" s="99"/>
      <c r="K196" s="99">
        <v>518.4</v>
      </c>
      <c r="L196" s="99" t="s">
        <v>5489</v>
      </c>
      <c r="Q196" s="99"/>
      <c r="R196" s="95"/>
      <c r="S196" s="115"/>
      <c r="T196" s="168" t="s">
        <v>4603</v>
      </c>
      <c r="U196" s="168">
        <v>101681</v>
      </c>
      <c r="V196" s="113">
        <v>246.5711</v>
      </c>
      <c r="W196" s="113">
        <f t="shared" si="69"/>
        <v>25071596.019099999</v>
      </c>
      <c r="X196" s="99" t="s">
        <v>452</v>
      </c>
      <c r="Z196" t="s">
        <v>25</v>
      </c>
      <c r="AA196" t="s">
        <v>25</v>
      </c>
      <c r="AH196" s="99">
        <v>176</v>
      </c>
      <c r="AI196" s="113" t="s">
        <v>5239</v>
      </c>
      <c r="AJ196" s="113">
        <v>1300000</v>
      </c>
      <c r="AK196" s="99">
        <v>0</v>
      </c>
      <c r="AL196" s="20">
        <f t="shared" si="72"/>
        <v>117</v>
      </c>
      <c r="AM196" s="117">
        <f t="shared" si="73"/>
        <v>152100000</v>
      </c>
      <c r="AN196" s="20"/>
      <c r="AR196" t="s">
        <v>25</v>
      </c>
    </row>
    <row r="197" spans="9:45">
      <c r="I197" s="99" t="s">
        <v>61</v>
      </c>
      <c r="J197" s="99">
        <v>7557.6</v>
      </c>
      <c r="K197" s="99">
        <v>524.79999999999995</v>
      </c>
      <c r="L197" s="99" t="s">
        <v>5490</v>
      </c>
      <c r="Q197" s="99" t="s">
        <v>5164</v>
      </c>
      <c r="R197" s="95">
        <v>0</v>
      </c>
      <c r="S197" s="115"/>
      <c r="T197" s="168" t="s">
        <v>4607</v>
      </c>
      <c r="U197" s="168">
        <v>66606</v>
      </c>
      <c r="V197" s="113">
        <v>251.131</v>
      </c>
      <c r="W197" s="113">
        <f t="shared" si="69"/>
        <v>16726831.386</v>
      </c>
      <c r="X197" s="99" t="s">
        <v>749</v>
      </c>
      <c r="Y197" t="s">
        <v>25</v>
      </c>
      <c r="AH197" s="99">
        <v>177</v>
      </c>
      <c r="AI197" s="113" t="s">
        <v>5239</v>
      </c>
      <c r="AJ197" s="113">
        <v>230000</v>
      </c>
      <c r="AK197" s="99">
        <v>1</v>
      </c>
      <c r="AL197" s="20">
        <f t="shared" si="72"/>
        <v>117</v>
      </c>
      <c r="AM197" s="117">
        <f t="shared" si="73"/>
        <v>26910000</v>
      </c>
      <c r="AN197" s="20"/>
    </row>
    <row r="198" spans="9:45">
      <c r="I198" s="99" t="s">
        <v>946</v>
      </c>
      <c r="J198" s="99">
        <v>8629.9</v>
      </c>
      <c r="K198" s="99"/>
      <c r="L198" s="99"/>
      <c r="Q198" s="99" t="s">
        <v>4445</v>
      </c>
      <c r="R198" s="95">
        <f>SUM(R185:R197)</f>
        <v>2962342177.0999999</v>
      </c>
      <c r="T198" s="168" t="s">
        <v>4612</v>
      </c>
      <c r="U198" s="168">
        <v>172025</v>
      </c>
      <c r="V198" s="113">
        <v>245.52809999999999</v>
      </c>
      <c r="W198" s="113">
        <f t="shared" si="69"/>
        <v>42236971.402499996</v>
      </c>
      <c r="X198" s="99" t="s">
        <v>452</v>
      </c>
      <c r="Y198" t="s">
        <v>25</v>
      </c>
      <c r="AH198" s="99">
        <v>178</v>
      </c>
      <c r="AI198" s="113" t="s">
        <v>5242</v>
      </c>
      <c r="AJ198" s="113">
        <v>880000</v>
      </c>
      <c r="AK198" s="99">
        <v>4</v>
      </c>
      <c r="AL198" s="20">
        <f t="shared" si="72"/>
        <v>116</v>
      </c>
      <c r="AM198" s="117">
        <f t="shared" si="73"/>
        <v>102080000</v>
      </c>
      <c r="AN198" s="20"/>
    </row>
    <row r="199" spans="9:45">
      <c r="I199" s="99"/>
      <c r="J199" s="99"/>
      <c r="K199" s="99">
        <f>J198*J200/(K197*1.015)</f>
        <v>16201.151928391208</v>
      </c>
      <c r="L199" s="99" t="s">
        <v>5492</v>
      </c>
      <c r="Q199" s="96"/>
      <c r="T199" s="168" t="s">
        <v>4612</v>
      </c>
      <c r="U199" s="168">
        <v>189227</v>
      </c>
      <c r="V199" s="113">
        <v>245.52809999999999</v>
      </c>
      <c r="W199" s="113">
        <f t="shared" si="69"/>
        <v>46460545.778700002</v>
      </c>
      <c r="X199" s="99" t="s">
        <v>749</v>
      </c>
      <c r="Y199" t="s">
        <v>25</v>
      </c>
      <c r="AH199" s="99">
        <v>179</v>
      </c>
      <c r="AI199" s="113" t="s">
        <v>5247</v>
      </c>
      <c r="AJ199" s="113">
        <v>-900000</v>
      </c>
      <c r="AK199" s="99">
        <v>1</v>
      </c>
      <c r="AL199" s="20">
        <f t="shared" si="72"/>
        <v>112</v>
      </c>
      <c r="AM199" s="117">
        <f t="shared" si="73"/>
        <v>-100800000</v>
      </c>
      <c r="AN199" s="20"/>
    </row>
    <row r="200" spans="9:45">
      <c r="I200" s="99" t="s">
        <v>934</v>
      </c>
      <c r="J200" s="99">
        <v>1000</v>
      </c>
      <c r="K200" s="99">
        <f>J197*J200*1.015/K196</f>
        <v>14797.384259259257</v>
      </c>
      <c r="L200" s="99" t="s">
        <v>5491</v>
      </c>
      <c r="T200" s="168" t="s">
        <v>4613</v>
      </c>
      <c r="U200" s="168">
        <v>79720</v>
      </c>
      <c r="V200" s="113">
        <v>246.6568</v>
      </c>
      <c r="W200" s="113">
        <f t="shared" si="69"/>
        <v>19663480.096000001</v>
      </c>
      <c r="X200" s="99" t="s">
        <v>452</v>
      </c>
      <c r="AH200" s="99">
        <v>180</v>
      </c>
      <c r="AI200" s="113" t="s">
        <v>989</v>
      </c>
      <c r="AJ200" s="113">
        <v>-3500000</v>
      </c>
      <c r="AK200" s="99">
        <v>1</v>
      </c>
      <c r="AL200" s="20">
        <f t="shared" si="72"/>
        <v>111</v>
      </c>
      <c r="AM200" s="117">
        <f t="shared" si="73"/>
        <v>-388500000</v>
      </c>
      <c r="AN200" s="20"/>
      <c r="AR200" t="s">
        <v>25</v>
      </c>
    </row>
    <row r="201" spans="9:45">
      <c r="I201" s="99"/>
      <c r="J201" s="99"/>
      <c r="K201" s="99"/>
      <c r="L201" s="99"/>
      <c r="P201" s="114"/>
      <c r="Q201" s="99" t="s">
        <v>8</v>
      </c>
      <c r="R201" s="99" t="s">
        <v>4435</v>
      </c>
      <c r="S201" s="99"/>
      <c r="T201" s="168" t="s">
        <v>4613</v>
      </c>
      <c r="U201" s="168">
        <v>79720</v>
      </c>
      <c r="V201" s="113">
        <v>246.6568</v>
      </c>
      <c r="W201" s="113">
        <f t="shared" si="69"/>
        <v>19663480.096000001</v>
      </c>
      <c r="X201" s="99" t="s">
        <v>749</v>
      </c>
      <c r="Z201" t="s">
        <v>25</v>
      </c>
      <c r="AH201" s="99">
        <v>181</v>
      </c>
      <c r="AI201" s="113" t="s">
        <v>4271</v>
      </c>
      <c r="AJ201" s="113">
        <v>-1600000</v>
      </c>
      <c r="AK201" s="99">
        <v>1</v>
      </c>
      <c r="AL201" s="20">
        <f t="shared" si="72"/>
        <v>110</v>
      </c>
      <c r="AM201" s="117">
        <f t="shared" si="73"/>
        <v>-176000000</v>
      </c>
      <c r="AN201" s="20"/>
      <c r="AQ201" t="s">
        <v>25</v>
      </c>
    </row>
    <row r="202" spans="9:45">
      <c r="I202" s="99"/>
      <c r="J202" s="99"/>
      <c r="K202" s="1">
        <f>(K199-K200)*K197</f>
        <v>736697.27276044746</v>
      </c>
      <c r="L202" s="99" t="s">
        <v>914</v>
      </c>
      <c r="P202" s="114"/>
      <c r="Q202" s="99"/>
      <c r="R202" s="36" t="s">
        <v>180</v>
      </c>
      <c r="S202" s="99" t="s">
        <v>267</v>
      </c>
      <c r="T202" s="168" t="s">
        <v>4636</v>
      </c>
      <c r="U202" s="168">
        <v>17769</v>
      </c>
      <c r="V202" s="113">
        <v>246.17877999999999</v>
      </c>
      <c r="W202" s="113">
        <f t="shared" si="69"/>
        <v>4374350.7418200001</v>
      </c>
      <c r="X202" s="99" t="s">
        <v>749</v>
      </c>
      <c r="AH202" s="99">
        <v>182</v>
      </c>
      <c r="AI202" s="113" t="s">
        <v>5253</v>
      </c>
      <c r="AJ202" s="113">
        <v>-800000</v>
      </c>
      <c r="AK202" s="99">
        <v>7</v>
      </c>
      <c r="AL202" s="20">
        <f t="shared" si="72"/>
        <v>109</v>
      </c>
      <c r="AM202" s="117">
        <f t="shared" si="73"/>
        <v>-87200000</v>
      </c>
      <c r="AN202" s="20"/>
    </row>
    <row r="203" spans="9:45">
      <c r="Q203" s="99"/>
      <c r="R203" s="99" t="s">
        <v>4428</v>
      </c>
      <c r="S203" s="95">
        <v>3000000</v>
      </c>
      <c r="T203" s="168" t="s">
        <v>4636</v>
      </c>
      <c r="U203" s="168">
        <v>17769</v>
      </c>
      <c r="V203" s="113">
        <v>246.17877999999999</v>
      </c>
      <c r="W203" s="113">
        <f t="shared" si="69"/>
        <v>4374350.7418200001</v>
      </c>
      <c r="X203" s="99" t="s">
        <v>452</v>
      </c>
      <c r="Y203" s="122" t="s">
        <v>25</v>
      </c>
      <c r="AH203" s="99">
        <v>183</v>
      </c>
      <c r="AI203" s="113" t="s">
        <v>5262</v>
      </c>
      <c r="AJ203" s="113">
        <v>50000</v>
      </c>
      <c r="AK203" s="99">
        <v>2</v>
      </c>
      <c r="AL203" s="20">
        <f t="shared" si="72"/>
        <v>102</v>
      </c>
      <c r="AM203" s="117">
        <f t="shared" si="73"/>
        <v>5100000</v>
      </c>
      <c r="AN203" s="20"/>
    </row>
    <row r="204" spans="9:45">
      <c r="Q204" s="99"/>
      <c r="R204" s="99" t="s">
        <v>4481</v>
      </c>
      <c r="S204" s="95">
        <v>2000000</v>
      </c>
      <c r="T204" s="168" t="s">
        <v>4638</v>
      </c>
      <c r="U204" s="168">
        <v>12438</v>
      </c>
      <c r="V204" s="113">
        <v>241.20465999999999</v>
      </c>
      <c r="W204" s="113">
        <f t="shared" si="69"/>
        <v>3000103.5610799999</v>
      </c>
      <c r="X204" s="99" t="s">
        <v>4435</v>
      </c>
      <c r="AH204" s="99">
        <v>184</v>
      </c>
      <c r="AI204" s="113" t="s">
        <v>5264</v>
      </c>
      <c r="AJ204" s="113">
        <v>400000</v>
      </c>
      <c r="AK204" s="99">
        <v>8</v>
      </c>
      <c r="AL204" s="20">
        <f t="shared" ref="AL204:AL213" si="74">AL205+AK204</f>
        <v>100</v>
      </c>
      <c r="AM204" s="117">
        <f t="shared" ref="AM204:AM213" si="75">AJ204*AL204</f>
        <v>40000000</v>
      </c>
      <c r="AN204" s="20"/>
      <c r="AR204" t="s">
        <v>25</v>
      </c>
    </row>
    <row r="205" spans="9:45">
      <c r="Q205" s="99"/>
      <c r="R205" s="99" t="s">
        <v>4489</v>
      </c>
      <c r="S205" s="95">
        <v>1000000</v>
      </c>
      <c r="T205" s="168" t="s">
        <v>4647</v>
      </c>
      <c r="U205" s="168">
        <v>27363</v>
      </c>
      <c r="V205" s="113">
        <v>239.3886</v>
      </c>
      <c r="W205" s="113">
        <f t="shared" si="69"/>
        <v>6550390.2617999995</v>
      </c>
      <c r="X205" s="99" t="s">
        <v>749</v>
      </c>
      <c r="Y205" t="s">
        <v>25</v>
      </c>
      <c r="AH205" s="99">
        <v>185</v>
      </c>
      <c r="AI205" s="113" t="s">
        <v>5237</v>
      </c>
      <c r="AJ205" s="113">
        <v>-10000000</v>
      </c>
      <c r="AK205" s="99">
        <v>0</v>
      </c>
      <c r="AL205" s="20">
        <f t="shared" si="74"/>
        <v>92</v>
      </c>
      <c r="AM205" s="117">
        <f t="shared" si="75"/>
        <v>-920000000</v>
      </c>
      <c r="AN205" s="20" t="s">
        <v>5069</v>
      </c>
    </row>
    <row r="206" spans="9:45">
      <c r="Q206" s="99"/>
      <c r="R206" s="99" t="s">
        <v>4495</v>
      </c>
      <c r="S206" s="95">
        <v>2000000</v>
      </c>
      <c r="T206" s="168" t="s">
        <v>4647</v>
      </c>
      <c r="U206" s="168">
        <v>27363</v>
      </c>
      <c r="V206" s="113">
        <v>239.3886</v>
      </c>
      <c r="W206" s="113">
        <f t="shared" si="69"/>
        <v>6550390.2617999995</v>
      </c>
      <c r="X206" s="99" t="s">
        <v>452</v>
      </c>
      <c r="AH206" s="99">
        <v>186</v>
      </c>
      <c r="AI206" s="113" t="s">
        <v>5237</v>
      </c>
      <c r="AJ206" s="113">
        <v>3000000</v>
      </c>
      <c r="AK206" s="99">
        <v>1</v>
      </c>
      <c r="AL206" s="20">
        <f t="shared" si="74"/>
        <v>92</v>
      </c>
      <c r="AM206" s="117">
        <f t="shared" si="75"/>
        <v>276000000</v>
      </c>
      <c r="AN206" s="20"/>
    </row>
    <row r="207" spans="9:45">
      <c r="Q207" s="99"/>
      <c r="R207" s="99" t="s">
        <v>991</v>
      </c>
      <c r="S207" s="95">
        <v>3000000</v>
      </c>
      <c r="T207" s="210" t="s">
        <v>4649</v>
      </c>
      <c r="U207" s="210">
        <v>27437</v>
      </c>
      <c r="V207" s="113">
        <v>242.4015</v>
      </c>
      <c r="W207" s="113">
        <f t="shared" si="69"/>
        <v>6650769.9555000002</v>
      </c>
      <c r="X207" s="99" t="s">
        <v>749</v>
      </c>
      <c r="AH207" s="99">
        <v>187</v>
      </c>
      <c r="AI207" s="113" t="s">
        <v>5278</v>
      </c>
      <c r="AJ207" s="113">
        <v>500000</v>
      </c>
      <c r="AK207" s="99">
        <v>23</v>
      </c>
      <c r="AL207" s="20">
        <f t="shared" si="74"/>
        <v>91</v>
      </c>
      <c r="AM207" s="117">
        <f t="shared" si="75"/>
        <v>45500000</v>
      </c>
      <c r="AN207" s="20"/>
      <c r="AR207" t="s">
        <v>25</v>
      </c>
    </row>
    <row r="208" spans="9:45">
      <c r="Q208" s="99"/>
      <c r="R208" s="99" t="s">
        <v>4638</v>
      </c>
      <c r="S208" s="95">
        <v>3000000</v>
      </c>
      <c r="T208" s="210" t="s">
        <v>4649</v>
      </c>
      <c r="U208" s="210">
        <v>29104</v>
      </c>
      <c r="V208" s="113">
        <v>242.4015</v>
      </c>
      <c r="W208" s="113">
        <f t="shared" si="69"/>
        <v>7054853.2560000001</v>
      </c>
      <c r="X208" s="99" t="s">
        <v>452</v>
      </c>
      <c r="AH208" s="99">
        <v>188</v>
      </c>
      <c r="AI208" s="113" t="s">
        <v>5302</v>
      </c>
      <c r="AJ208" s="113">
        <v>101268</v>
      </c>
      <c r="AK208" s="99">
        <v>1</v>
      </c>
      <c r="AL208" s="20">
        <f t="shared" si="74"/>
        <v>68</v>
      </c>
      <c r="AM208" s="117">
        <f t="shared" si="75"/>
        <v>6886224</v>
      </c>
      <c r="AN208" s="20"/>
      <c r="AR208" t="s">
        <v>25</v>
      </c>
    </row>
    <row r="209" spans="15:46">
      <c r="Q209" s="99" t="s">
        <v>4815</v>
      </c>
      <c r="R209" s="99" t="s">
        <v>4810</v>
      </c>
      <c r="S209" s="95">
        <v>-800000</v>
      </c>
      <c r="T209" s="213" t="s">
        <v>4668</v>
      </c>
      <c r="U209" s="213">
        <v>8991</v>
      </c>
      <c r="V209" s="113">
        <v>238.64867000000001</v>
      </c>
      <c r="W209" s="113">
        <f t="shared" si="69"/>
        <v>2145690.19197</v>
      </c>
      <c r="X209" s="99" t="s">
        <v>749</v>
      </c>
      <c r="AH209" s="99">
        <v>189</v>
      </c>
      <c r="AI209" s="113" t="s">
        <v>5305</v>
      </c>
      <c r="AJ209" s="113">
        <v>101000</v>
      </c>
      <c r="AK209" s="99">
        <v>34</v>
      </c>
      <c r="AL209" s="20">
        <f t="shared" si="74"/>
        <v>67</v>
      </c>
      <c r="AM209" s="117">
        <f t="shared" si="75"/>
        <v>6767000</v>
      </c>
      <c r="AN209" s="20"/>
      <c r="AP209" t="s">
        <v>25</v>
      </c>
      <c r="AT209" s="96" t="s">
        <v>25</v>
      </c>
    </row>
    <row r="210" spans="15:46">
      <c r="Q210" s="99" t="s">
        <v>4816</v>
      </c>
      <c r="R210" s="99" t="s">
        <v>4810</v>
      </c>
      <c r="S210" s="95">
        <v>-900000</v>
      </c>
      <c r="T210" s="213" t="s">
        <v>4668</v>
      </c>
      <c r="U210" s="213">
        <v>8991</v>
      </c>
      <c r="V210" s="113">
        <v>238.64867000000001</v>
      </c>
      <c r="W210" s="113">
        <f t="shared" si="69"/>
        <v>2145690.19197</v>
      </c>
      <c r="X210" s="99" t="s">
        <v>452</v>
      </c>
      <c r="Y210" s="8" t="s">
        <v>25</v>
      </c>
      <c r="Z210" t="s">
        <v>25</v>
      </c>
      <c r="AH210" s="99">
        <v>190</v>
      </c>
      <c r="AI210" s="113" t="s">
        <v>5330</v>
      </c>
      <c r="AJ210" s="113">
        <v>-488602</v>
      </c>
      <c r="AK210" s="99">
        <v>5</v>
      </c>
      <c r="AL210" s="20">
        <f t="shared" si="74"/>
        <v>33</v>
      </c>
      <c r="AM210" s="117">
        <f t="shared" si="75"/>
        <v>-16123866</v>
      </c>
      <c r="AN210" s="20"/>
      <c r="AR210" t="s">
        <v>25</v>
      </c>
    </row>
    <row r="211" spans="15:46">
      <c r="P211" s="114"/>
      <c r="Q211" s="99" t="s">
        <v>4816</v>
      </c>
      <c r="R211" s="99" t="s">
        <v>978</v>
      </c>
      <c r="S211" s="95">
        <v>-1100000</v>
      </c>
      <c r="T211" s="213" t="s">
        <v>4679</v>
      </c>
      <c r="U211" s="213">
        <v>18170</v>
      </c>
      <c r="V211" s="113">
        <v>240.48475999999999</v>
      </c>
      <c r="W211" s="113">
        <f t="shared" si="69"/>
        <v>4369608.0892000003</v>
      </c>
      <c r="X211" s="99" t="s">
        <v>749</v>
      </c>
      <c r="AH211" s="99">
        <v>191</v>
      </c>
      <c r="AI211" s="113" t="s">
        <v>5344</v>
      </c>
      <c r="AJ211" s="113">
        <v>360000</v>
      </c>
      <c r="AK211" s="99">
        <v>10</v>
      </c>
      <c r="AL211" s="20">
        <f t="shared" si="74"/>
        <v>28</v>
      </c>
      <c r="AM211" s="117">
        <f t="shared" si="75"/>
        <v>10080000</v>
      </c>
      <c r="AN211" s="20"/>
      <c r="AR211" t="s">
        <v>25</v>
      </c>
    </row>
    <row r="212" spans="15:46">
      <c r="P212" s="114"/>
      <c r="Q212" s="195" t="s">
        <v>1083</v>
      </c>
      <c r="R212" s="195" t="s">
        <v>4839</v>
      </c>
      <c r="S212" s="240">
        <v>30000000</v>
      </c>
      <c r="T212" s="213" t="s">
        <v>4679</v>
      </c>
      <c r="U212" s="213">
        <v>18170</v>
      </c>
      <c r="V212" s="113">
        <v>240.48475999999999</v>
      </c>
      <c r="W212" s="113">
        <f t="shared" si="69"/>
        <v>4369608.0892000003</v>
      </c>
      <c r="X212" s="99" t="s">
        <v>452</v>
      </c>
      <c r="AH212" s="99">
        <v>192</v>
      </c>
      <c r="AI212" s="113" t="s">
        <v>5356</v>
      </c>
      <c r="AJ212" s="113">
        <v>-3600000</v>
      </c>
      <c r="AK212" s="99">
        <v>4</v>
      </c>
      <c r="AL212" s="20">
        <f t="shared" si="74"/>
        <v>18</v>
      </c>
      <c r="AM212" s="117">
        <f t="shared" si="75"/>
        <v>-64800000</v>
      </c>
      <c r="AN212" s="20"/>
      <c r="AS212" t="s">
        <v>25</v>
      </c>
    </row>
    <row r="213" spans="15:46">
      <c r="P213" s="114"/>
      <c r="Q213" s="20" t="s">
        <v>4923</v>
      </c>
      <c r="R213" s="20" t="s">
        <v>4921</v>
      </c>
      <c r="S213" s="245">
        <v>2000000</v>
      </c>
      <c r="T213" s="213" t="s">
        <v>4681</v>
      </c>
      <c r="U213" s="213">
        <v>36797</v>
      </c>
      <c r="V213" s="113">
        <v>239.0822</v>
      </c>
      <c r="W213" s="113">
        <f t="shared" si="69"/>
        <v>8797507.7134000007</v>
      </c>
      <c r="X213" s="99" t="s">
        <v>749</v>
      </c>
      <c r="AH213" s="99">
        <v>193</v>
      </c>
      <c r="AI213" s="113" t="s">
        <v>5366</v>
      </c>
      <c r="AJ213" s="113">
        <v>-1000000</v>
      </c>
      <c r="AK213" s="99">
        <v>5</v>
      </c>
      <c r="AL213" s="20">
        <f t="shared" si="74"/>
        <v>14</v>
      </c>
      <c r="AM213" s="117">
        <f t="shared" si="75"/>
        <v>-14000000</v>
      </c>
      <c r="AN213" s="20"/>
      <c r="AR213" t="s">
        <v>25</v>
      </c>
    </row>
    <row r="214" spans="15:46">
      <c r="O214" t="s">
        <v>25</v>
      </c>
      <c r="P214" s="114"/>
      <c r="Q214" s="149" t="s">
        <v>4948</v>
      </c>
      <c r="R214" s="149" t="s">
        <v>4947</v>
      </c>
      <c r="S214" s="150">
        <v>480105</v>
      </c>
      <c r="T214" s="213" t="s">
        <v>4681</v>
      </c>
      <c r="U214" s="213">
        <v>36797</v>
      </c>
      <c r="V214" s="113">
        <v>239.0822</v>
      </c>
      <c r="W214" s="113">
        <f t="shared" si="69"/>
        <v>8797507.7134000007</v>
      </c>
      <c r="X214" s="99" t="s">
        <v>452</v>
      </c>
      <c r="AH214" s="99">
        <v>194</v>
      </c>
      <c r="AI214" s="113" t="s">
        <v>5372</v>
      </c>
      <c r="AJ214" s="113">
        <v>360000</v>
      </c>
      <c r="AK214" s="99">
        <v>2</v>
      </c>
      <c r="AL214" s="20">
        <f t="shared" ref="AL214:AL218" si="76">AL215+AK214</f>
        <v>9</v>
      </c>
      <c r="AM214" s="117">
        <f t="shared" ref="AM214:AM219" si="77">AJ214*AL214</f>
        <v>3240000</v>
      </c>
      <c r="AN214" s="20"/>
      <c r="AQ214" t="s">
        <v>25</v>
      </c>
    </row>
    <row r="215" spans="15:46">
      <c r="P215" s="114"/>
      <c r="Q215" s="149"/>
      <c r="R215" s="149" t="s">
        <v>5000</v>
      </c>
      <c r="S215" s="150">
        <v>30500000</v>
      </c>
      <c r="T215" s="213" t="s">
        <v>4690</v>
      </c>
      <c r="U215" s="213">
        <v>28066</v>
      </c>
      <c r="V215" s="113">
        <v>237.56970000000001</v>
      </c>
      <c r="W215" s="113">
        <f t="shared" si="69"/>
        <v>6667631.2002000008</v>
      </c>
      <c r="X215" s="99" t="s">
        <v>749</v>
      </c>
      <c r="AH215" s="99">
        <v>195</v>
      </c>
      <c r="AI215" s="113" t="s">
        <v>5377</v>
      </c>
      <c r="AJ215" s="113">
        <v>2000000</v>
      </c>
      <c r="AK215" s="99">
        <v>1</v>
      </c>
      <c r="AL215" s="20">
        <f t="shared" si="76"/>
        <v>7</v>
      </c>
      <c r="AM215" s="117">
        <f t="shared" si="77"/>
        <v>14000000</v>
      </c>
      <c r="AN215" s="20"/>
    </row>
    <row r="216" spans="15:46">
      <c r="P216" s="114"/>
      <c r="Q216" s="20" t="s">
        <v>5042</v>
      </c>
      <c r="R216" s="20" t="s">
        <v>5037</v>
      </c>
      <c r="S216" s="245">
        <v>-400000</v>
      </c>
      <c r="T216" s="213" t="s">
        <v>4690</v>
      </c>
      <c r="U216" s="213">
        <v>28066</v>
      </c>
      <c r="V216" s="113">
        <v>237.56970000000001</v>
      </c>
      <c r="W216" s="113">
        <f t="shared" si="69"/>
        <v>6667631.2002000008</v>
      </c>
      <c r="X216" s="99" t="s">
        <v>452</v>
      </c>
      <c r="AH216" s="99">
        <v>196</v>
      </c>
      <c r="AI216" s="113" t="s">
        <v>5381</v>
      </c>
      <c r="AJ216" s="113">
        <v>20000000</v>
      </c>
      <c r="AK216" s="99">
        <v>0</v>
      </c>
      <c r="AL216" s="20">
        <f t="shared" si="76"/>
        <v>6</v>
      </c>
      <c r="AM216" s="117">
        <f t="shared" si="77"/>
        <v>120000000</v>
      </c>
      <c r="AN216" s="20" t="s">
        <v>4736</v>
      </c>
      <c r="AR216" t="s">
        <v>25</v>
      </c>
    </row>
    <row r="217" spans="15:46">
      <c r="P217" s="114"/>
      <c r="Q217" s="149" t="s">
        <v>5159</v>
      </c>
      <c r="R217" s="149" t="s">
        <v>5074</v>
      </c>
      <c r="S217" s="150">
        <v>-349550</v>
      </c>
      <c r="T217" s="213" t="s">
        <v>3680</v>
      </c>
      <c r="U217" s="213">
        <v>37457</v>
      </c>
      <c r="V217" s="113">
        <v>239.77</v>
      </c>
      <c r="W217" s="113">
        <f t="shared" si="69"/>
        <v>8981064.8900000006</v>
      </c>
      <c r="X217" s="99" t="s">
        <v>749</v>
      </c>
      <c r="AH217" s="99">
        <v>197</v>
      </c>
      <c r="AI217" s="113" t="s">
        <v>5381</v>
      </c>
      <c r="AJ217" s="113">
        <v>-4700000</v>
      </c>
      <c r="AK217" s="99">
        <v>1</v>
      </c>
      <c r="AL217" s="20">
        <f t="shared" si="76"/>
        <v>6</v>
      </c>
      <c r="AM217" s="117">
        <f t="shared" si="77"/>
        <v>-28200000</v>
      </c>
      <c r="AN217" s="20"/>
    </row>
    <row r="218" spans="15:46">
      <c r="P218" s="114"/>
      <c r="Q218" s="149" t="s">
        <v>5189</v>
      </c>
      <c r="R218" s="149" t="s">
        <v>5186</v>
      </c>
      <c r="S218" s="150">
        <v>11500000</v>
      </c>
      <c r="T218" s="213" t="s">
        <v>3680</v>
      </c>
      <c r="U218" s="213">
        <v>37457</v>
      </c>
      <c r="V218" s="113">
        <v>239.77</v>
      </c>
      <c r="W218" s="113">
        <f t="shared" si="69"/>
        <v>8981064.8900000006</v>
      </c>
      <c r="X218" s="99" t="s">
        <v>452</v>
      </c>
      <c r="AH218" s="99">
        <v>198</v>
      </c>
      <c r="AI218" s="113" t="s">
        <v>5386</v>
      </c>
      <c r="AJ218" s="113">
        <v>3000000</v>
      </c>
      <c r="AK218" s="99">
        <v>4</v>
      </c>
      <c r="AL218" s="20">
        <f t="shared" si="76"/>
        <v>5</v>
      </c>
      <c r="AM218" s="117">
        <f t="shared" si="77"/>
        <v>15000000</v>
      </c>
      <c r="AN218" s="20"/>
      <c r="AS218" t="s">
        <v>25</v>
      </c>
    </row>
    <row r="219" spans="15:46">
      <c r="Q219" s="149" t="s">
        <v>5218</v>
      </c>
      <c r="R219" s="149" t="s">
        <v>5217</v>
      </c>
      <c r="S219" s="150">
        <v>6000000</v>
      </c>
      <c r="T219" s="213" t="s">
        <v>4703</v>
      </c>
      <c r="U219" s="213">
        <v>38412</v>
      </c>
      <c r="V219" s="113">
        <v>239.03</v>
      </c>
      <c r="W219" s="113">
        <f t="shared" si="69"/>
        <v>9181620.3599999994</v>
      </c>
      <c r="X219" s="99" t="s">
        <v>749</v>
      </c>
      <c r="AH219" s="99">
        <v>199</v>
      </c>
      <c r="AI219" s="113" t="s">
        <v>5389</v>
      </c>
      <c r="AJ219" s="113">
        <v>1500000</v>
      </c>
      <c r="AK219" s="99">
        <v>1</v>
      </c>
      <c r="AL219" s="20">
        <f>AL226+AK219</f>
        <v>1</v>
      </c>
      <c r="AM219" s="117">
        <f t="shared" si="77"/>
        <v>1500000</v>
      </c>
      <c r="AN219" s="20"/>
    </row>
    <row r="220" spans="15:46">
      <c r="P220" s="114"/>
      <c r="Q220" s="149" t="s">
        <v>5220</v>
      </c>
      <c r="R220" s="149" t="s">
        <v>5219</v>
      </c>
      <c r="S220" s="150">
        <v>1500000</v>
      </c>
      <c r="T220" s="213" t="s">
        <v>4703</v>
      </c>
      <c r="U220" s="213">
        <v>38412</v>
      </c>
      <c r="V220" s="113">
        <v>239.03</v>
      </c>
      <c r="W220" s="113">
        <f t="shared" si="69"/>
        <v>9181620.3599999994</v>
      </c>
      <c r="X220" s="99" t="s">
        <v>452</v>
      </c>
      <c r="AH220" s="99">
        <v>200</v>
      </c>
      <c r="AI220" s="113" t="s">
        <v>5392</v>
      </c>
      <c r="AJ220" s="113">
        <v>30000000</v>
      </c>
      <c r="AK220" s="99">
        <v>33</v>
      </c>
      <c r="AL220" s="20">
        <f>AL227+AK220</f>
        <v>33</v>
      </c>
      <c r="AM220" s="117">
        <f t="shared" ref="AM220:AM221" si="78">AJ220*AL220</f>
        <v>990000000</v>
      </c>
      <c r="AN220" s="20"/>
    </row>
    <row r="221" spans="15:46">
      <c r="P221" s="114"/>
      <c r="Q221" s="20" t="s">
        <v>5042</v>
      </c>
      <c r="R221" s="20" t="s">
        <v>5227</v>
      </c>
      <c r="S221" s="245">
        <v>-200000</v>
      </c>
      <c r="T221" s="213" t="s">
        <v>4707</v>
      </c>
      <c r="U221" s="213">
        <v>49555</v>
      </c>
      <c r="V221" s="113">
        <v>238.345</v>
      </c>
      <c r="W221" s="113">
        <f t="shared" si="69"/>
        <v>11811186.475</v>
      </c>
      <c r="X221" s="99" t="s">
        <v>749</v>
      </c>
      <c r="AH221" s="99">
        <v>201</v>
      </c>
      <c r="AI221" s="113" t="s">
        <v>5485</v>
      </c>
      <c r="AJ221" s="113">
        <v>3000000</v>
      </c>
      <c r="AK221" s="99">
        <v>1</v>
      </c>
      <c r="AL221" s="20">
        <f>AL228+AK221</f>
        <v>1</v>
      </c>
      <c r="AM221" s="117">
        <f t="shared" si="78"/>
        <v>3000000</v>
      </c>
      <c r="AN221" s="20"/>
    </row>
    <row r="222" spans="15:46">
      <c r="Q222" s="195" t="s">
        <v>5248</v>
      </c>
      <c r="R222" s="195" t="s">
        <v>5247</v>
      </c>
      <c r="S222" s="240">
        <v>1000000</v>
      </c>
      <c r="T222" s="213" t="s">
        <v>4707</v>
      </c>
      <c r="U222" s="213">
        <v>49555</v>
      </c>
      <c r="V222" s="113">
        <v>238.345</v>
      </c>
      <c r="W222" s="113">
        <f t="shared" si="69"/>
        <v>11811186.475</v>
      </c>
      <c r="X222" s="99" t="s">
        <v>452</v>
      </c>
      <c r="AH222" s="99">
        <v>202</v>
      </c>
      <c r="AI222" s="113" t="s">
        <v>5486</v>
      </c>
      <c r="AJ222" s="113">
        <v>7000000</v>
      </c>
      <c r="AK222" s="99">
        <v>4</v>
      </c>
      <c r="AL222" s="20">
        <f t="shared" ref="AL222:AL227" si="79">AL229+AK222</f>
        <v>4</v>
      </c>
      <c r="AM222" s="117">
        <f t="shared" ref="AM222:AM227" si="80">AJ222*AL222</f>
        <v>28000000</v>
      </c>
      <c r="AN222" s="20"/>
    </row>
    <row r="223" spans="15:46">
      <c r="P223" s="114"/>
      <c r="Q223" s="20" t="s">
        <v>5042</v>
      </c>
      <c r="R223" s="20" t="s">
        <v>5262</v>
      </c>
      <c r="S223" s="245">
        <v>-122000</v>
      </c>
      <c r="T223" s="213" t="s">
        <v>4721</v>
      </c>
      <c r="U223" s="213">
        <v>160187</v>
      </c>
      <c r="V223" s="113">
        <v>257.49799999999999</v>
      </c>
      <c r="W223" s="113">
        <f t="shared" si="69"/>
        <v>41247832.126000002</v>
      </c>
      <c r="X223" s="99" t="s">
        <v>749</v>
      </c>
      <c r="AH223" s="99">
        <v>203</v>
      </c>
      <c r="AI223" s="113" t="s">
        <v>5504</v>
      </c>
      <c r="AJ223" s="113">
        <v>8800000</v>
      </c>
      <c r="AK223" s="99">
        <v>2</v>
      </c>
      <c r="AL223" s="20">
        <f t="shared" si="79"/>
        <v>2</v>
      </c>
      <c r="AM223" s="117">
        <f t="shared" si="80"/>
        <v>17600000</v>
      </c>
      <c r="AN223" s="20"/>
    </row>
    <row r="224" spans="15:46">
      <c r="P224" s="114"/>
      <c r="Q224" s="20" t="s">
        <v>5042</v>
      </c>
      <c r="R224" s="20" t="s">
        <v>5270</v>
      </c>
      <c r="S224" s="245">
        <v>-700000</v>
      </c>
      <c r="T224" s="213" t="s">
        <v>4721</v>
      </c>
      <c r="U224" s="213">
        <v>160187</v>
      </c>
      <c r="V224" s="113">
        <v>257.49799999999999</v>
      </c>
      <c r="W224" s="113">
        <f t="shared" si="69"/>
        <v>41247832.126000002</v>
      </c>
      <c r="X224" s="99" t="s">
        <v>452</v>
      </c>
      <c r="Z224" t="s">
        <v>25</v>
      </c>
      <c r="AH224" s="99">
        <v>204</v>
      </c>
      <c r="AI224" s="113" t="s">
        <v>5514</v>
      </c>
      <c r="AJ224" s="113">
        <v>40000000</v>
      </c>
      <c r="AK224" s="99">
        <v>8</v>
      </c>
      <c r="AL224" s="20">
        <f t="shared" si="79"/>
        <v>8</v>
      </c>
      <c r="AM224" s="117">
        <f t="shared" si="80"/>
        <v>320000000</v>
      </c>
      <c r="AN224" s="20" t="s">
        <v>5521</v>
      </c>
      <c r="AS224" t="s">
        <v>25</v>
      </c>
    </row>
    <row r="225" spans="16:45">
      <c r="Q225" s="20" t="s">
        <v>5042</v>
      </c>
      <c r="R225" s="20" t="s">
        <v>5282</v>
      </c>
      <c r="S225" s="245">
        <v>-60000</v>
      </c>
      <c r="T225" s="213" t="s">
        <v>4728</v>
      </c>
      <c r="U225" s="213">
        <v>144401</v>
      </c>
      <c r="V225" s="113">
        <v>258.5061</v>
      </c>
      <c r="W225" s="113">
        <f t="shared" si="69"/>
        <v>37328539.346100003</v>
      </c>
      <c r="X225" s="99" t="s">
        <v>749</v>
      </c>
      <c r="AH225" s="99">
        <v>205</v>
      </c>
      <c r="AI225" s="113" t="s">
        <v>5551</v>
      </c>
      <c r="AJ225" s="113">
        <v>400000</v>
      </c>
      <c r="AK225" s="99">
        <v>1</v>
      </c>
      <c r="AL225" s="20">
        <f t="shared" si="79"/>
        <v>1</v>
      </c>
      <c r="AM225" s="117">
        <f t="shared" si="80"/>
        <v>400000</v>
      </c>
      <c r="AN225" s="20"/>
      <c r="AR225" t="s">
        <v>25</v>
      </c>
    </row>
    <row r="226" spans="16:45">
      <c r="P226" s="114"/>
      <c r="Q226" s="20" t="s">
        <v>4435</v>
      </c>
      <c r="R226" s="20" t="s">
        <v>5344</v>
      </c>
      <c r="S226" s="245">
        <v>700000</v>
      </c>
      <c r="T226" s="213" t="s">
        <v>4728</v>
      </c>
      <c r="U226" s="213">
        <v>144401</v>
      </c>
      <c r="V226" s="113">
        <v>258.5061</v>
      </c>
      <c r="W226" s="113">
        <f t="shared" si="69"/>
        <v>37328539.346100003</v>
      </c>
      <c r="X226" s="99" t="s">
        <v>452</v>
      </c>
      <c r="Y226" t="s">
        <v>25</v>
      </c>
      <c r="AH226" s="99"/>
      <c r="AI226" s="113"/>
      <c r="AJ226" s="113"/>
      <c r="AK226" s="99"/>
      <c r="AL226" s="20">
        <f t="shared" si="79"/>
        <v>0</v>
      </c>
      <c r="AM226" s="117">
        <f t="shared" si="80"/>
        <v>0</v>
      </c>
      <c r="AN226" s="20"/>
    </row>
    <row r="227" spans="16:45">
      <c r="Q227" s="149" t="s">
        <v>5354</v>
      </c>
      <c r="R227" s="149" t="s">
        <v>5353</v>
      </c>
      <c r="S227" s="150">
        <v>-2000000</v>
      </c>
      <c r="T227" s="168" t="s">
        <v>4734</v>
      </c>
      <c r="U227" s="168">
        <v>196500</v>
      </c>
      <c r="V227" s="113">
        <v>254.452</v>
      </c>
      <c r="W227" s="113">
        <f t="shared" si="69"/>
        <v>49999818</v>
      </c>
      <c r="X227" s="99" t="s">
        <v>4738</v>
      </c>
      <c r="AH227" s="99"/>
      <c r="AI227" s="113"/>
      <c r="AJ227" s="113"/>
      <c r="AK227" s="99"/>
      <c r="AL227" s="20">
        <f t="shared" si="79"/>
        <v>0</v>
      </c>
      <c r="AM227" s="117">
        <f t="shared" si="80"/>
        <v>0</v>
      </c>
      <c r="AN227" s="20"/>
    </row>
    <row r="228" spans="16:45">
      <c r="P228" t="s">
        <v>25</v>
      </c>
      <c r="Q228" s="149" t="s">
        <v>5362</v>
      </c>
      <c r="R228" s="149" t="s">
        <v>5356</v>
      </c>
      <c r="S228" s="150">
        <v>2000000</v>
      </c>
      <c r="T228" s="213" t="s">
        <v>4734</v>
      </c>
      <c r="U228" s="213">
        <v>2561</v>
      </c>
      <c r="V228" s="113">
        <v>254.536</v>
      </c>
      <c r="W228" s="113">
        <f t="shared" si="69"/>
        <v>651866.696</v>
      </c>
      <c r="X228" s="99" t="s">
        <v>4739</v>
      </c>
      <c r="Y228" s="96"/>
      <c r="AH228" s="99"/>
      <c r="AI228" s="113"/>
      <c r="AJ228" s="113"/>
      <c r="AK228" s="99"/>
      <c r="AL228" s="20">
        <f t="shared" si="70"/>
        <v>0</v>
      </c>
      <c r="AM228" s="117">
        <f t="shared" si="71"/>
        <v>0</v>
      </c>
      <c r="AN228" s="20"/>
      <c r="AR228" t="s">
        <v>25</v>
      </c>
    </row>
    <row r="229" spans="16:45">
      <c r="Q229" s="149" t="s">
        <v>1083</v>
      </c>
      <c r="R229" s="149" t="s">
        <v>5369</v>
      </c>
      <c r="S229" s="150">
        <v>40000000</v>
      </c>
      <c r="T229" s="213" t="s">
        <v>4782</v>
      </c>
      <c r="U229" s="213">
        <v>-11795</v>
      </c>
      <c r="V229" s="113">
        <v>254.334</v>
      </c>
      <c r="W229" s="113">
        <f t="shared" si="69"/>
        <v>-2999869.5300000003</v>
      </c>
      <c r="X229" s="99" t="s">
        <v>4783</v>
      </c>
      <c r="Y229" t="s">
        <v>25</v>
      </c>
      <c r="AH229" s="99"/>
      <c r="AI229" s="99"/>
      <c r="AJ229" s="95">
        <f>SUM(AJ20:AJ228)</f>
        <v>597663725</v>
      </c>
      <c r="AK229" s="99"/>
      <c r="AL229" s="99"/>
      <c r="AM229" s="95">
        <f>SUM(AM20:AM228)</f>
        <v>223752340108</v>
      </c>
      <c r="AN229" s="95">
        <f>AM229*AN232/31</f>
        <v>120299362.98645277</v>
      </c>
    </row>
    <row r="230" spans="16:45">
      <c r="P230" s="114"/>
      <c r="Q230" s="20" t="s">
        <v>4435</v>
      </c>
      <c r="R230" s="20" t="s">
        <v>5374</v>
      </c>
      <c r="S230" s="245">
        <v>-800000</v>
      </c>
      <c r="T230" s="213" t="s">
        <v>4782</v>
      </c>
      <c r="U230" s="213">
        <v>11795</v>
      </c>
      <c r="V230" s="113">
        <v>254.334</v>
      </c>
      <c r="W230" s="113">
        <f t="shared" si="69"/>
        <v>2999869.5300000003</v>
      </c>
      <c r="X230" s="99" t="s">
        <v>4784</v>
      </c>
      <c r="AH230" s="99"/>
      <c r="AI230" s="99"/>
      <c r="AJ230" s="99" t="s">
        <v>4055</v>
      </c>
      <c r="AK230" s="99"/>
      <c r="AL230" s="99"/>
      <c r="AM230" s="99" t="s">
        <v>284</v>
      </c>
      <c r="AN230" s="99" t="s">
        <v>940</v>
      </c>
      <c r="AQ230" t="s">
        <v>25</v>
      </c>
    </row>
    <row r="231" spans="16:45">
      <c r="P231" s="114"/>
      <c r="Q231" s="149" t="s">
        <v>5507</v>
      </c>
      <c r="R231" s="149" t="s">
        <v>5505</v>
      </c>
      <c r="S231" s="150">
        <v>-26000000</v>
      </c>
      <c r="T231" s="213" t="s">
        <v>4796</v>
      </c>
      <c r="U231" s="213">
        <v>260</v>
      </c>
      <c r="V231" s="113">
        <v>263.19</v>
      </c>
      <c r="W231" s="113">
        <f t="shared" si="69"/>
        <v>68429.399999999994</v>
      </c>
      <c r="X231" s="99" t="s">
        <v>452</v>
      </c>
      <c r="AH231" s="99"/>
      <c r="AI231" s="99"/>
      <c r="AJ231" s="99"/>
      <c r="AK231" s="99"/>
      <c r="AL231" s="99"/>
      <c r="AM231" s="99"/>
      <c r="AN231" s="99"/>
    </row>
    <row r="232" spans="16:45">
      <c r="P232" s="114"/>
      <c r="Q232" s="149" t="s">
        <v>5507</v>
      </c>
      <c r="R232" s="149" t="s">
        <v>5514</v>
      </c>
      <c r="S232" s="150">
        <v>-95900000</v>
      </c>
      <c r="T232" s="213" t="s">
        <v>4805</v>
      </c>
      <c r="U232" s="213">
        <v>15257</v>
      </c>
      <c r="V232" s="113">
        <v>262.19018</v>
      </c>
      <c r="W232" s="113">
        <f t="shared" si="69"/>
        <v>4000235.57626</v>
      </c>
      <c r="X232" s="99" t="s">
        <v>452</v>
      </c>
      <c r="AH232" s="99"/>
      <c r="AI232" s="99"/>
      <c r="AJ232" s="99"/>
      <c r="AK232" s="99"/>
      <c r="AL232" s="99"/>
      <c r="AM232" s="99" t="s">
        <v>4056</v>
      </c>
      <c r="AN232" s="99">
        <v>1.6667000000000001E-2</v>
      </c>
    </row>
    <row r="233" spans="16:45">
      <c r="P233" s="114"/>
      <c r="Q233" s="149" t="s">
        <v>5507</v>
      </c>
      <c r="R233" s="149" t="s">
        <v>5515</v>
      </c>
      <c r="S233" s="150">
        <v>-28950000</v>
      </c>
      <c r="T233" s="213" t="s">
        <v>4805</v>
      </c>
      <c r="U233" s="213">
        <v>8444</v>
      </c>
      <c r="V233" s="113">
        <v>266.43029999999999</v>
      </c>
      <c r="W233" s="113">
        <f t="shared" si="69"/>
        <v>2249737.4531999999</v>
      </c>
      <c r="X233" s="99" t="s">
        <v>452</v>
      </c>
      <c r="Y233" t="s">
        <v>25</v>
      </c>
      <c r="AH233" s="99"/>
      <c r="AI233" s="99"/>
      <c r="AJ233" s="99"/>
      <c r="AK233" s="99"/>
      <c r="AL233" s="99"/>
      <c r="AM233" s="99"/>
      <c r="AN233" s="99"/>
    </row>
    <row r="234" spans="16:45">
      <c r="P234" s="114"/>
      <c r="Q234" s="171" t="s">
        <v>5546</v>
      </c>
      <c r="R234" s="171" t="s">
        <v>5539</v>
      </c>
      <c r="S234" s="296">
        <v>2000000</v>
      </c>
      <c r="T234" s="213" t="s">
        <v>4810</v>
      </c>
      <c r="U234" s="213">
        <v>-6209</v>
      </c>
      <c r="V234" s="113">
        <v>273.79649999999998</v>
      </c>
      <c r="W234" s="113">
        <f t="shared" si="69"/>
        <v>-1700002.4685</v>
      </c>
      <c r="X234" s="99" t="s">
        <v>4821</v>
      </c>
      <c r="AH234" s="99"/>
      <c r="AI234" s="99" t="s">
        <v>4057</v>
      </c>
      <c r="AJ234" s="95">
        <f>AJ229+AN229</f>
        <v>717963087.98645282</v>
      </c>
      <c r="AK234" s="99"/>
      <c r="AL234" s="99"/>
      <c r="AM234" s="99"/>
      <c r="AN234" s="99"/>
    </row>
    <row r="235" spans="16:45">
      <c r="P235" s="114"/>
      <c r="Q235" s="99" t="s">
        <v>5557</v>
      </c>
      <c r="R235" s="99" t="s">
        <v>5551</v>
      </c>
      <c r="S235" s="95">
        <v>1896188</v>
      </c>
      <c r="T235" s="213" t="s">
        <v>4810</v>
      </c>
      <c r="U235" s="213">
        <v>-8014</v>
      </c>
      <c r="V235" s="113">
        <v>273.79649999999998</v>
      </c>
      <c r="W235" s="113">
        <f t="shared" si="69"/>
        <v>-2194205.1510000001</v>
      </c>
      <c r="X235" s="99" t="s">
        <v>749</v>
      </c>
      <c r="Z235" t="s">
        <v>25</v>
      </c>
      <c r="AA235" t="s">
        <v>25</v>
      </c>
      <c r="AI235" t="s">
        <v>4060</v>
      </c>
      <c r="AJ235" s="114">
        <f>SUM(N49:N65)</f>
        <v>1920783077.0999999</v>
      </c>
      <c r="AM235" t="s">
        <v>25</v>
      </c>
    </row>
    <row r="236" spans="16:45">
      <c r="P236" s="114"/>
      <c r="Q236" s="99"/>
      <c r="R236" s="99"/>
      <c r="S236" s="95"/>
      <c r="T236" s="213" t="s">
        <v>4819</v>
      </c>
      <c r="U236" s="213">
        <v>-9176</v>
      </c>
      <c r="V236" s="113">
        <v>273.79649999999998</v>
      </c>
      <c r="W236" s="113">
        <f t="shared" si="69"/>
        <v>-2512356.6839999999</v>
      </c>
      <c r="X236" s="99" t="s">
        <v>452</v>
      </c>
      <c r="AI236" t="s">
        <v>4132</v>
      </c>
      <c r="AJ236" s="114">
        <f>AJ235-AJ229</f>
        <v>1323119352.0999999</v>
      </c>
      <c r="AM236" t="s">
        <v>25</v>
      </c>
    </row>
    <row r="237" spans="16:45">
      <c r="P237" s="114"/>
      <c r="Q237" s="99"/>
      <c r="R237" s="99"/>
      <c r="S237" s="95">
        <f>SUM(S203:S235)</f>
        <v>-14705257</v>
      </c>
      <c r="T237" s="213" t="s">
        <v>4819</v>
      </c>
      <c r="U237" s="213">
        <v>1087</v>
      </c>
      <c r="V237" s="113">
        <v>273.79649999999998</v>
      </c>
      <c r="W237" s="113">
        <f t="shared" si="69"/>
        <v>297616.79550000001</v>
      </c>
      <c r="X237" s="99" t="s">
        <v>452</v>
      </c>
      <c r="Y237" t="s">
        <v>25</v>
      </c>
      <c r="AI237" t="s">
        <v>940</v>
      </c>
      <c r="AJ237" s="114">
        <f>AN229</f>
        <v>120299362.98645277</v>
      </c>
      <c r="AN237" t="s">
        <v>25</v>
      </c>
      <c r="AS237" t="s">
        <v>25</v>
      </c>
    </row>
    <row r="238" spans="16:45">
      <c r="P238" s="114"/>
      <c r="R238" s="99"/>
      <c r="S238" s="99" t="s">
        <v>6</v>
      </c>
      <c r="T238" s="213" t="s">
        <v>978</v>
      </c>
      <c r="U238" s="213">
        <v>-4017</v>
      </c>
      <c r="V238" s="113">
        <v>273.79649999999998</v>
      </c>
      <c r="W238" s="113">
        <f t="shared" si="69"/>
        <v>-1099840.5404999999</v>
      </c>
      <c r="X238" s="99" t="s">
        <v>4435</v>
      </c>
      <c r="AI238" t="s">
        <v>4061</v>
      </c>
      <c r="AJ238" s="114">
        <f>AJ235-AJ234</f>
        <v>1202819989.1135471</v>
      </c>
      <c r="AN238" t="s">
        <v>25</v>
      </c>
      <c r="AR238" t="s">
        <v>25</v>
      </c>
    </row>
    <row r="239" spans="16:45">
      <c r="Q239" s="96"/>
      <c r="T239" s="213" t="s">
        <v>978</v>
      </c>
      <c r="U239" s="213">
        <v>4017</v>
      </c>
      <c r="V239" s="113">
        <v>273.79649999999998</v>
      </c>
      <c r="W239" s="113">
        <f t="shared" si="69"/>
        <v>1099840.5404999999</v>
      </c>
      <c r="X239" s="99" t="s">
        <v>452</v>
      </c>
      <c r="AM239" t="s">
        <v>25</v>
      </c>
      <c r="AR239" t="s">
        <v>25</v>
      </c>
    </row>
    <row r="240" spans="16:45">
      <c r="Q240" s="96"/>
      <c r="R240" s="96" t="s">
        <v>25</v>
      </c>
      <c r="T240" s="213" t="s">
        <v>4826</v>
      </c>
      <c r="U240" s="213">
        <v>3137</v>
      </c>
      <c r="V240" s="113">
        <v>283.69110000000001</v>
      </c>
      <c r="W240" s="113">
        <f t="shared" si="69"/>
        <v>889938.98070000007</v>
      </c>
      <c r="X240" s="99" t="s">
        <v>452</v>
      </c>
      <c r="AJ240" t="s">
        <v>25</v>
      </c>
    </row>
    <row r="241" spans="16:43">
      <c r="P241" s="114" t="s">
        <v>25</v>
      </c>
      <c r="Q241" s="96"/>
      <c r="R241" s="96" t="s">
        <v>25</v>
      </c>
      <c r="S241" t="s">
        <v>25</v>
      </c>
      <c r="T241" s="213" t="s">
        <v>4839</v>
      </c>
      <c r="U241" s="213">
        <v>101933</v>
      </c>
      <c r="V241" s="113">
        <v>294.30973999999998</v>
      </c>
      <c r="W241" s="113">
        <f t="shared" si="69"/>
        <v>29999874.727419998</v>
      </c>
      <c r="X241" s="99" t="s">
        <v>1083</v>
      </c>
    </row>
    <row r="242" spans="16:43">
      <c r="P242" s="114"/>
      <c r="S242" t="s">
        <v>25</v>
      </c>
      <c r="T242" s="213" t="s">
        <v>4846</v>
      </c>
      <c r="U242" s="213">
        <v>3407</v>
      </c>
      <c r="V242" s="113">
        <v>293.43799999999999</v>
      </c>
      <c r="W242" s="113">
        <f t="shared" si="69"/>
        <v>999743.26599999995</v>
      </c>
      <c r="X242" s="99" t="s">
        <v>452</v>
      </c>
    </row>
    <row r="243" spans="16:43">
      <c r="Q243" s="99" t="s">
        <v>749</v>
      </c>
      <c r="R243" s="99"/>
      <c r="T243" s="213" t="s">
        <v>4847</v>
      </c>
      <c r="U243" s="213">
        <v>68796</v>
      </c>
      <c r="V243" s="113">
        <v>293.53250000000003</v>
      </c>
      <c r="W243" s="113">
        <f t="shared" si="69"/>
        <v>20193861.870000001</v>
      </c>
      <c r="X243" s="99" t="s">
        <v>749</v>
      </c>
    </row>
    <row r="244" spans="16:43">
      <c r="Q244" s="99" t="s">
        <v>4428</v>
      </c>
      <c r="R244" s="95">
        <v>172908000</v>
      </c>
      <c r="T244" s="213" t="s">
        <v>4847</v>
      </c>
      <c r="U244" s="213">
        <v>154791</v>
      </c>
      <c r="V244" s="113">
        <v>293.53250000000003</v>
      </c>
      <c r="W244" s="113">
        <f t="shared" si="69"/>
        <v>45436189.207500003</v>
      </c>
      <c r="X244" s="99" t="s">
        <v>452</v>
      </c>
    </row>
    <row r="245" spans="16:43">
      <c r="Q245" s="99" t="s">
        <v>4468</v>
      </c>
      <c r="R245" s="95">
        <v>1400000</v>
      </c>
      <c r="T245" s="213" t="s">
        <v>4847</v>
      </c>
      <c r="U245" s="213">
        <v>-11923</v>
      </c>
      <c r="V245" s="113">
        <v>293.53250000000003</v>
      </c>
      <c r="W245" s="113">
        <f t="shared" si="69"/>
        <v>-3499787.9975000005</v>
      </c>
      <c r="X245" s="99" t="s">
        <v>452</v>
      </c>
      <c r="AH245" s="99" t="s">
        <v>3637</v>
      </c>
      <c r="AI245" s="99" t="s">
        <v>180</v>
      </c>
      <c r="AJ245" s="99" t="s">
        <v>267</v>
      </c>
      <c r="AK245" s="99" t="s">
        <v>4054</v>
      </c>
      <c r="AL245" s="99" t="s">
        <v>4046</v>
      </c>
      <c r="AM245" s="99" t="s">
        <v>282</v>
      </c>
      <c r="AN245" s="99" t="s">
        <v>4283</v>
      </c>
    </row>
    <row r="246" spans="16:43">
      <c r="Q246" s="99" t="s">
        <v>4222</v>
      </c>
      <c r="R246" s="95">
        <v>247393</v>
      </c>
      <c r="S246" t="s">
        <v>25</v>
      </c>
      <c r="T246" s="213" t="s">
        <v>4860</v>
      </c>
      <c r="U246" s="213">
        <v>8424</v>
      </c>
      <c r="V246" s="113">
        <v>299.15170000000001</v>
      </c>
      <c r="W246" s="113">
        <f t="shared" si="69"/>
        <v>2520053.9208</v>
      </c>
      <c r="X246" s="99" t="s">
        <v>452</v>
      </c>
      <c r="AH246" s="99">
        <v>1</v>
      </c>
      <c r="AI246" s="99" t="s">
        <v>3945</v>
      </c>
      <c r="AJ246" s="117">
        <v>3555820</v>
      </c>
      <c r="AK246" s="99">
        <v>2</v>
      </c>
      <c r="AL246" s="99">
        <f>AK246+AL247</f>
        <v>600</v>
      </c>
      <c r="AM246" s="99">
        <f>AJ246*AL246</f>
        <v>2133492000</v>
      </c>
      <c r="AN246" s="99" t="s">
        <v>4303</v>
      </c>
    </row>
    <row r="247" spans="16:43">
      <c r="Q247" s="99" t="s">
        <v>4221</v>
      </c>
      <c r="R247" s="95">
        <v>6780000</v>
      </c>
      <c r="T247" s="213" t="s">
        <v>4895</v>
      </c>
      <c r="U247" s="213">
        <v>15943</v>
      </c>
      <c r="V247" s="113">
        <v>307.34415000000001</v>
      </c>
      <c r="W247" s="113">
        <f t="shared" si="69"/>
        <v>4899987.78345</v>
      </c>
      <c r="X247" s="99" t="s">
        <v>452</v>
      </c>
      <c r="AH247" s="99">
        <v>2</v>
      </c>
      <c r="AI247" s="99" t="s">
        <v>4020</v>
      </c>
      <c r="AJ247" s="117">
        <v>1720837</v>
      </c>
      <c r="AK247" s="99">
        <v>51</v>
      </c>
      <c r="AL247" s="99">
        <f t="shared" ref="AL247:AL256" si="81">AK247+AL248</f>
        <v>598</v>
      </c>
      <c r="AM247" s="99">
        <f t="shared" ref="AM247:AM275" si="82">AJ247*AL247</f>
        <v>1029060526</v>
      </c>
      <c r="AN247" s="99" t="s">
        <v>4304</v>
      </c>
    </row>
    <row r="248" spans="16:43">
      <c r="Q248" s="99" t="s">
        <v>4575</v>
      </c>
      <c r="R248" s="95">
        <v>-4000000</v>
      </c>
      <c r="T248" s="213" t="s">
        <v>4915</v>
      </c>
      <c r="U248" s="213">
        <v>3741</v>
      </c>
      <c r="V248" s="113">
        <v>307.34415000000001</v>
      </c>
      <c r="W248" s="113">
        <f t="shared" si="69"/>
        <v>1149774.4651500001</v>
      </c>
      <c r="X248" s="99" t="s">
        <v>452</v>
      </c>
      <c r="AH248" s="99">
        <v>3</v>
      </c>
      <c r="AI248" s="99" t="s">
        <v>4126</v>
      </c>
      <c r="AJ248" s="117">
        <v>150000</v>
      </c>
      <c r="AK248" s="99">
        <v>3</v>
      </c>
      <c r="AL248" s="99">
        <f t="shared" si="81"/>
        <v>547</v>
      </c>
      <c r="AM248" s="99">
        <f t="shared" si="82"/>
        <v>82050000</v>
      </c>
      <c r="AN248" s="99"/>
    </row>
    <row r="249" spans="16:43">
      <c r="Q249" s="99" t="s">
        <v>4607</v>
      </c>
      <c r="R249" s="95">
        <v>16727037</v>
      </c>
      <c r="T249" s="213" t="s">
        <v>4921</v>
      </c>
      <c r="U249" s="213">
        <v>-6207</v>
      </c>
      <c r="V249" s="113">
        <v>322.214</v>
      </c>
      <c r="W249" s="113">
        <f t="shared" si="69"/>
        <v>-1999982.298</v>
      </c>
      <c r="X249" s="99" t="s">
        <v>749</v>
      </c>
      <c r="AH249" s="99">
        <v>4</v>
      </c>
      <c r="AI249" s="99" t="s">
        <v>4141</v>
      </c>
      <c r="AJ249" s="117">
        <v>-95000</v>
      </c>
      <c r="AK249" s="99">
        <v>8</v>
      </c>
      <c r="AL249" s="99">
        <f t="shared" si="81"/>
        <v>544</v>
      </c>
      <c r="AM249" s="99">
        <f t="shared" si="82"/>
        <v>-51680000</v>
      </c>
      <c r="AN249" s="99"/>
      <c r="AP249" t="s">
        <v>25</v>
      </c>
    </row>
    <row r="250" spans="16:43">
      <c r="Q250" s="99" t="s">
        <v>4612</v>
      </c>
      <c r="R250" s="95">
        <v>46460683</v>
      </c>
      <c r="S250" t="s">
        <v>25</v>
      </c>
      <c r="T250" s="213" t="s">
        <v>4921</v>
      </c>
      <c r="U250" s="213">
        <v>6207</v>
      </c>
      <c r="V250" s="113">
        <v>322.214</v>
      </c>
      <c r="W250" s="113">
        <f t="shared" si="69"/>
        <v>1999982.298</v>
      </c>
      <c r="X250" s="99" t="s">
        <v>4435</v>
      </c>
      <c r="Y250" t="s">
        <v>25</v>
      </c>
      <c r="AH250" s="99">
        <v>5</v>
      </c>
      <c r="AI250" s="99" t="s">
        <v>4166</v>
      </c>
      <c r="AJ250" s="117">
        <v>3150000</v>
      </c>
      <c r="AK250" s="99">
        <v>16</v>
      </c>
      <c r="AL250" s="99">
        <f t="shared" si="81"/>
        <v>536</v>
      </c>
      <c r="AM250" s="99">
        <f t="shared" si="82"/>
        <v>1688400000</v>
      </c>
      <c r="AN250" s="99"/>
    </row>
    <row r="251" spans="16:43">
      <c r="Q251" s="99" t="s">
        <v>4613</v>
      </c>
      <c r="R251" s="95">
        <v>19663646</v>
      </c>
      <c r="T251" s="213" t="s">
        <v>4867</v>
      </c>
      <c r="U251" s="213">
        <v>776</v>
      </c>
      <c r="V251" s="113">
        <v>322.214</v>
      </c>
      <c r="W251" s="113">
        <f t="shared" si="69"/>
        <v>250038.06400000001</v>
      </c>
      <c r="X251" s="99" t="s">
        <v>452</v>
      </c>
      <c r="Y251" t="s">
        <v>25</v>
      </c>
      <c r="AH251" s="99">
        <v>6</v>
      </c>
      <c r="AI251" s="99" t="s">
        <v>4231</v>
      </c>
      <c r="AJ251" s="117">
        <v>-65000</v>
      </c>
      <c r="AK251" s="99">
        <v>1</v>
      </c>
      <c r="AL251" s="99">
        <f t="shared" si="81"/>
        <v>520</v>
      </c>
      <c r="AM251" s="99">
        <f t="shared" si="82"/>
        <v>-33800000</v>
      </c>
      <c r="AN251" s="99"/>
    </row>
    <row r="252" spans="16:43">
      <c r="Q252" s="99" t="s">
        <v>4636</v>
      </c>
      <c r="R252" s="95">
        <v>4374525</v>
      </c>
      <c r="T252" s="213" t="s">
        <v>4947</v>
      </c>
      <c r="U252" s="213">
        <v>1524</v>
      </c>
      <c r="V252" s="113">
        <v>314.95999999999998</v>
      </c>
      <c r="W252" s="113">
        <f t="shared" si="69"/>
        <v>479999.04</v>
      </c>
      <c r="X252" s="99" t="s">
        <v>1083</v>
      </c>
      <c r="AH252" s="99">
        <v>7</v>
      </c>
      <c r="AI252" s="99" t="s">
        <v>4305</v>
      </c>
      <c r="AJ252" s="117">
        <v>-95000</v>
      </c>
      <c r="AK252" s="99">
        <v>6</v>
      </c>
      <c r="AL252" s="99">
        <f t="shared" si="81"/>
        <v>519</v>
      </c>
      <c r="AM252" s="99">
        <f t="shared" si="82"/>
        <v>-49305000</v>
      </c>
      <c r="AN252" s="99"/>
    </row>
    <row r="253" spans="16:43">
      <c r="Q253" s="99" t="s">
        <v>4647</v>
      </c>
      <c r="R253" s="95">
        <v>6550580</v>
      </c>
      <c r="T253" s="213" t="s">
        <v>4956</v>
      </c>
      <c r="U253" s="213">
        <v>4435</v>
      </c>
      <c r="V253" s="113">
        <v>316.4375</v>
      </c>
      <c r="W253" s="113">
        <f t="shared" si="69"/>
        <v>1403400.3125</v>
      </c>
      <c r="X253" s="99" t="s">
        <v>452</v>
      </c>
      <c r="AH253" s="99">
        <v>8</v>
      </c>
      <c r="AI253" s="99" t="s">
        <v>4306</v>
      </c>
      <c r="AJ253" s="117">
        <v>232000</v>
      </c>
      <c r="AK253" s="99">
        <v>7</v>
      </c>
      <c r="AL253" s="99">
        <f t="shared" si="81"/>
        <v>513</v>
      </c>
      <c r="AM253" s="99">
        <f t="shared" si="82"/>
        <v>119016000</v>
      </c>
      <c r="AN253" s="99"/>
      <c r="AQ253" t="s">
        <v>25</v>
      </c>
    </row>
    <row r="254" spans="16:43">
      <c r="Q254" s="99" t="s">
        <v>4649</v>
      </c>
      <c r="R254" s="95">
        <v>6650895</v>
      </c>
      <c r="T254" s="213" t="s">
        <v>4961</v>
      </c>
      <c r="U254" s="213">
        <v>624</v>
      </c>
      <c r="V254" s="113">
        <v>320.5</v>
      </c>
      <c r="W254" s="113">
        <f t="shared" si="69"/>
        <v>199992</v>
      </c>
      <c r="X254" s="99" t="s">
        <v>452</v>
      </c>
      <c r="AH254" s="99">
        <v>9</v>
      </c>
      <c r="AI254" s="99" t="s">
        <v>4282</v>
      </c>
      <c r="AJ254" s="117">
        <v>13000000</v>
      </c>
      <c r="AK254" s="99">
        <v>2</v>
      </c>
      <c r="AL254" s="99">
        <f t="shared" si="81"/>
        <v>506</v>
      </c>
      <c r="AM254" s="99">
        <f t="shared" si="82"/>
        <v>6578000000</v>
      </c>
      <c r="AN254" s="99"/>
    </row>
    <row r="255" spans="16:43">
      <c r="Q255" s="99" t="s">
        <v>4668</v>
      </c>
      <c r="R255" s="95">
        <v>2145814</v>
      </c>
      <c r="T255" s="213" t="s">
        <v>4967</v>
      </c>
      <c r="U255" s="213">
        <v>1086</v>
      </c>
      <c r="V255" s="113">
        <v>317.55</v>
      </c>
      <c r="W255" s="113">
        <f t="shared" si="69"/>
        <v>344859.3</v>
      </c>
      <c r="X255" s="99" t="s">
        <v>452</v>
      </c>
      <c r="AH255" s="99">
        <v>10</v>
      </c>
      <c r="AI255" s="99" t="s">
        <v>4307</v>
      </c>
      <c r="AJ255" s="117">
        <v>10000000</v>
      </c>
      <c r="AK255" s="99">
        <v>3</v>
      </c>
      <c r="AL255" s="99">
        <f t="shared" si="81"/>
        <v>504</v>
      </c>
      <c r="AM255" s="99">
        <f t="shared" si="82"/>
        <v>5040000000</v>
      </c>
      <c r="AN255" s="99"/>
    </row>
    <row r="256" spans="16:43">
      <c r="Q256" s="99" t="s">
        <v>4679</v>
      </c>
      <c r="R256" s="95">
        <v>4369730</v>
      </c>
      <c r="T256" s="213" t="s">
        <v>4972</v>
      </c>
      <c r="U256" s="213">
        <v>2820</v>
      </c>
      <c r="V256" s="113">
        <v>319.1096</v>
      </c>
      <c r="W256" s="113">
        <f t="shared" si="69"/>
        <v>899889.07200000004</v>
      </c>
      <c r="X256" s="99" t="s">
        <v>452</v>
      </c>
      <c r="AH256" s="99">
        <v>11</v>
      </c>
      <c r="AI256" s="99" t="s">
        <v>4295</v>
      </c>
      <c r="AJ256" s="117">
        <v>3400000</v>
      </c>
      <c r="AK256" s="99">
        <v>9</v>
      </c>
      <c r="AL256" s="99">
        <f t="shared" si="81"/>
        <v>501</v>
      </c>
      <c r="AM256" s="99">
        <f t="shared" si="82"/>
        <v>1703400000</v>
      </c>
      <c r="AN256" s="99"/>
    </row>
    <row r="257" spans="15:45">
      <c r="Q257" s="99" t="s">
        <v>4681</v>
      </c>
      <c r="R257" s="95">
        <v>8739459</v>
      </c>
      <c r="S257" t="s">
        <v>25</v>
      </c>
      <c r="T257" s="213" t="s">
        <v>4976</v>
      </c>
      <c r="U257" s="213">
        <v>1145</v>
      </c>
      <c r="V257" s="113">
        <v>325.44</v>
      </c>
      <c r="W257" s="113">
        <f t="shared" si="69"/>
        <v>372628.8</v>
      </c>
      <c r="X257" s="99" t="s">
        <v>452</v>
      </c>
      <c r="AH257" s="99">
        <v>12</v>
      </c>
      <c r="AI257" s="99" t="s">
        <v>4336</v>
      </c>
      <c r="AJ257" s="117">
        <v>-8736514</v>
      </c>
      <c r="AK257" s="99">
        <v>1</v>
      </c>
      <c r="AL257" s="99">
        <f>AK257+AL258</f>
        <v>492</v>
      </c>
      <c r="AM257" s="99">
        <f t="shared" si="82"/>
        <v>-4298364888</v>
      </c>
      <c r="AN257" s="99"/>
    </row>
    <row r="258" spans="15:45">
      <c r="O258" t="s">
        <v>25</v>
      </c>
      <c r="Q258" s="99" t="s">
        <v>4690</v>
      </c>
      <c r="R258" s="95">
        <v>6667654</v>
      </c>
      <c r="T258" s="213" t="s">
        <v>4987</v>
      </c>
      <c r="U258" s="213">
        <v>20153</v>
      </c>
      <c r="V258" s="113">
        <v>322</v>
      </c>
      <c r="W258" s="113">
        <f t="shared" si="69"/>
        <v>6489266</v>
      </c>
      <c r="X258" s="99" t="s">
        <v>452</v>
      </c>
      <c r="Z258" t="s">
        <v>25</v>
      </c>
      <c r="AH258" s="99">
        <v>13</v>
      </c>
      <c r="AI258" s="99" t="s">
        <v>4337</v>
      </c>
      <c r="AJ258" s="117">
        <v>555000</v>
      </c>
      <c r="AK258" s="99">
        <v>5</v>
      </c>
      <c r="AL258" s="99">
        <f t="shared" ref="AL258:AL274" si="83">AK258+AL259</f>
        <v>491</v>
      </c>
      <c r="AM258" s="99">
        <f t="shared" si="82"/>
        <v>272505000</v>
      </c>
      <c r="AN258" s="99"/>
    </row>
    <row r="259" spans="15:45">
      <c r="P259" t="s">
        <v>25</v>
      </c>
      <c r="Q259" s="99" t="s">
        <v>4698</v>
      </c>
      <c r="R259" s="95">
        <v>8981245</v>
      </c>
      <c r="T259" s="213" t="s">
        <v>5000</v>
      </c>
      <c r="U259" s="213">
        <v>93720</v>
      </c>
      <c r="V259" s="113">
        <v>325.435</v>
      </c>
      <c r="W259" s="113">
        <f t="shared" si="69"/>
        <v>30499768.199999999</v>
      </c>
      <c r="X259" s="99" t="s">
        <v>1083</v>
      </c>
      <c r="AH259" s="99">
        <v>14</v>
      </c>
      <c r="AI259" s="99" t="s">
        <v>4361</v>
      </c>
      <c r="AJ259" s="117">
        <v>-448308</v>
      </c>
      <c r="AK259" s="99">
        <v>6</v>
      </c>
      <c r="AL259" s="99">
        <f t="shared" si="83"/>
        <v>486</v>
      </c>
      <c r="AM259" s="99">
        <f t="shared" si="82"/>
        <v>-217877688</v>
      </c>
      <c r="AN259" s="99"/>
    </row>
    <row r="260" spans="15:45">
      <c r="Q260" s="99" t="s">
        <v>4703</v>
      </c>
      <c r="R260" s="95">
        <v>9181756</v>
      </c>
      <c r="T260" s="213" t="s">
        <v>5000</v>
      </c>
      <c r="U260" s="213">
        <v>20895</v>
      </c>
      <c r="V260" s="113">
        <v>325.435</v>
      </c>
      <c r="W260" s="113">
        <f t="shared" si="69"/>
        <v>6799964.3250000002</v>
      </c>
      <c r="X260" s="99" t="s">
        <v>749</v>
      </c>
      <c r="AH260" s="99">
        <v>15</v>
      </c>
      <c r="AI260" s="99" t="s">
        <v>4391</v>
      </c>
      <c r="AJ260" s="117">
        <v>33225</v>
      </c>
      <c r="AK260" s="99">
        <v>0</v>
      </c>
      <c r="AL260" s="99">
        <f t="shared" si="83"/>
        <v>480</v>
      </c>
      <c r="AM260" s="99">
        <f t="shared" si="82"/>
        <v>15948000</v>
      </c>
      <c r="AN260" s="99"/>
    </row>
    <row r="261" spans="15:45">
      <c r="Q261" s="99" t="s">
        <v>4707</v>
      </c>
      <c r="R261" s="95">
        <v>11811208</v>
      </c>
      <c r="S261" t="s">
        <v>25</v>
      </c>
      <c r="T261" s="213" t="s">
        <v>5012</v>
      </c>
      <c r="U261" s="213">
        <v>2611</v>
      </c>
      <c r="V261" s="113">
        <v>325.435</v>
      </c>
      <c r="W261" s="113">
        <f t="shared" si="69"/>
        <v>849710.78500000003</v>
      </c>
      <c r="X261" s="99" t="s">
        <v>749</v>
      </c>
      <c r="AH261" s="149">
        <v>16</v>
      </c>
      <c r="AI261" s="149" t="s">
        <v>4391</v>
      </c>
      <c r="AJ261" s="188">
        <v>4098523</v>
      </c>
      <c r="AK261" s="149">
        <v>2</v>
      </c>
      <c r="AL261" s="149">
        <f t="shared" si="83"/>
        <v>480</v>
      </c>
      <c r="AM261" s="149">
        <f t="shared" si="82"/>
        <v>1967291040</v>
      </c>
      <c r="AN261" s="149" t="s">
        <v>655</v>
      </c>
    </row>
    <row r="262" spans="15:45">
      <c r="Q262" s="99" t="s">
        <v>4721</v>
      </c>
      <c r="R262" s="95">
        <v>41248054</v>
      </c>
      <c r="S262" t="s">
        <v>25</v>
      </c>
      <c r="T262" s="213" t="s">
        <v>5022</v>
      </c>
      <c r="U262" s="213">
        <v>6750</v>
      </c>
      <c r="V262" s="113">
        <v>339.3</v>
      </c>
      <c r="W262" s="113">
        <f t="shared" si="69"/>
        <v>2290275</v>
      </c>
      <c r="X262" s="99" t="s">
        <v>749</v>
      </c>
      <c r="AH262" s="149">
        <v>17</v>
      </c>
      <c r="AI262" s="149" t="s">
        <v>4404</v>
      </c>
      <c r="AJ262" s="188">
        <v>-1000000</v>
      </c>
      <c r="AK262" s="149">
        <v>7</v>
      </c>
      <c r="AL262" s="149">
        <f t="shared" si="83"/>
        <v>478</v>
      </c>
      <c r="AM262" s="149">
        <f t="shared" si="82"/>
        <v>-478000000</v>
      </c>
      <c r="AN262" s="149" t="s">
        <v>655</v>
      </c>
    </row>
    <row r="263" spans="15:45">
      <c r="Q263" s="99" t="s">
        <v>4728</v>
      </c>
      <c r="R263" s="95">
        <v>37328780</v>
      </c>
      <c r="T263" s="213" t="s">
        <v>5037</v>
      </c>
      <c r="U263" s="213">
        <v>1850</v>
      </c>
      <c r="V263" s="113">
        <v>334.10050000000001</v>
      </c>
      <c r="W263" s="113">
        <f t="shared" si="69"/>
        <v>618085.92500000005</v>
      </c>
      <c r="X263" s="99" t="s">
        <v>452</v>
      </c>
      <c r="AH263" s="149">
        <v>18</v>
      </c>
      <c r="AI263" s="149" t="s">
        <v>4424</v>
      </c>
      <c r="AJ263" s="188">
        <v>750000</v>
      </c>
      <c r="AK263" s="149">
        <v>1</v>
      </c>
      <c r="AL263" s="149">
        <f t="shared" si="83"/>
        <v>471</v>
      </c>
      <c r="AM263" s="149">
        <f t="shared" si="82"/>
        <v>353250000</v>
      </c>
      <c r="AN263" s="149" t="s">
        <v>655</v>
      </c>
    </row>
    <row r="264" spans="15:45">
      <c r="Q264" s="99" t="s">
        <v>4810</v>
      </c>
      <c r="R264" s="95">
        <v>-2194100</v>
      </c>
      <c r="T264" s="213" t="s">
        <v>5037</v>
      </c>
      <c r="U264" s="213">
        <v>-1194</v>
      </c>
      <c r="V264" s="113">
        <v>335</v>
      </c>
      <c r="W264" s="113">
        <f t="shared" si="69"/>
        <v>-399990</v>
      </c>
      <c r="X264" s="99" t="s">
        <v>4435</v>
      </c>
      <c r="AH264" s="195">
        <v>19</v>
      </c>
      <c r="AI264" s="195" t="s">
        <v>4426</v>
      </c>
      <c r="AJ264" s="196">
        <v>-604152</v>
      </c>
      <c r="AK264" s="195">
        <v>0</v>
      </c>
      <c r="AL264" s="195">
        <f t="shared" si="83"/>
        <v>470</v>
      </c>
      <c r="AM264" s="195">
        <f t="shared" si="82"/>
        <v>-283951440</v>
      </c>
      <c r="AN264" s="195" t="s">
        <v>655</v>
      </c>
    </row>
    <row r="265" spans="15:45">
      <c r="Q265" s="99" t="s">
        <v>4847</v>
      </c>
      <c r="R265" s="95">
        <v>20193916</v>
      </c>
      <c r="T265" s="213" t="s">
        <v>5037</v>
      </c>
      <c r="U265" s="213">
        <v>1194</v>
      </c>
      <c r="V265" s="113">
        <v>335</v>
      </c>
      <c r="W265" s="113">
        <f t="shared" si="69"/>
        <v>399990</v>
      </c>
      <c r="X265" s="99" t="s">
        <v>749</v>
      </c>
      <c r="AH265" s="99">
        <v>20</v>
      </c>
      <c r="AI265" s="99" t="s">
        <v>4427</v>
      </c>
      <c r="AJ265" s="117">
        <v>-587083</v>
      </c>
      <c r="AK265" s="99">
        <v>4</v>
      </c>
      <c r="AL265" s="99">
        <f t="shared" si="83"/>
        <v>470</v>
      </c>
      <c r="AM265" s="99">
        <f t="shared" si="82"/>
        <v>-275929010</v>
      </c>
      <c r="AN265" s="99"/>
    </row>
    <row r="266" spans="15:45">
      <c r="P266" t="s">
        <v>25</v>
      </c>
      <c r="Q266" s="99" t="s">
        <v>4921</v>
      </c>
      <c r="R266" s="95">
        <v>-2000000</v>
      </c>
      <c r="T266" s="213" t="s">
        <v>5044</v>
      </c>
      <c r="U266" s="213">
        <v>433</v>
      </c>
      <c r="V266" s="113">
        <v>345.68</v>
      </c>
      <c r="W266" s="113">
        <f t="shared" si="69"/>
        <v>149679.44</v>
      </c>
      <c r="X266" s="99" t="s">
        <v>749</v>
      </c>
      <c r="AH266" s="195">
        <v>21</v>
      </c>
      <c r="AI266" s="195" t="s">
        <v>4428</v>
      </c>
      <c r="AJ266" s="196">
        <v>-754351</v>
      </c>
      <c r="AK266" s="195">
        <v>0</v>
      </c>
      <c r="AL266" s="149">
        <f t="shared" si="83"/>
        <v>466</v>
      </c>
      <c r="AM266" s="195">
        <f t="shared" si="82"/>
        <v>-351527566</v>
      </c>
      <c r="AN266" s="195" t="s">
        <v>655</v>
      </c>
    </row>
    <row r="267" spans="15:45">
      <c r="Q267" s="99" t="s">
        <v>5000</v>
      </c>
      <c r="R267" s="95">
        <v>6800000</v>
      </c>
      <c r="S267" t="s">
        <v>25</v>
      </c>
      <c r="T267" s="213" t="s">
        <v>5049</v>
      </c>
      <c r="U267" s="213">
        <v>55459</v>
      </c>
      <c r="V267" s="113">
        <v>362.51978000000003</v>
      </c>
      <c r="W267" s="113">
        <f t="shared" si="69"/>
        <v>20104984.479020003</v>
      </c>
      <c r="X267" s="99" t="s">
        <v>452</v>
      </c>
      <c r="Y267" t="s">
        <v>25</v>
      </c>
      <c r="AH267" s="99">
        <v>22</v>
      </c>
      <c r="AI267" s="99" t="s">
        <v>4428</v>
      </c>
      <c r="AJ267" s="117">
        <v>-189619</v>
      </c>
      <c r="AK267" s="99">
        <v>15</v>
      </c>
      <c r="AL267" s="99">
        <f t="shared" si="83"/>
        <v>466</v>
      </c>
      <c r="AM267" s="99">
        <f t="shared" si="82"/>
        <v>-88362454</v>
      </c>
      <c r="AN267" s="99"/>
      <c r="AS267" t="s">
        <v>25</v>
      </c>
    </row>
    <row r="268" spans="15:45">
      <c r="Q268" s="99" t="s">
        <v>5012</v>
      </c>
      <c r="R268" s="95">
        <v>850000</v>
      </c>
      <c r="T268" s="213" t="s">
        <v>5054</v>
      </c>
      <c r="U268" s="213">
        <v>-57212</v>
      </c>
      <c r="V268" s="113">
        <v>368.45400000000001</v>
      </c>
      <c r="W268" s="113">
        <f t="shared" si="69"/>
        <v>-21079990.248</v>
      </c>
      <c r="X268" s="99" t="s">
        <v>452</v>
      </c>
      <c r="AA268" t="s">
        <v>25</v>
      </c>
      <c r="AH268" s="195">
        <v>23</v>
      </c>
      <c r="AI268" s="195" t="s">
        <v>4499</v>
      </c>
      <c r="AJ268" s="188">
        <v>7100</v>
      </c>
      <c r="AK268" s="195">
        <v>0</v>
      </c>
      <c r="AL268" s="149">
        <f t="shared" si="83"/>
        <v>451</v>
      </c>
      <c r="AM268" s="195">
        <f t="shared" si="82"/>
        <v>3202100</v>
      </c>
      <c r="AN268" s="195" t="s">
        <v>655</v>
      </c>
    </row>
    <row r="269" spans="15:45">
      <c r="Q269" s="99" t="s">
        <v>5022</v>
      </c>
      <c r="R269" s="95">
        <v>2290500</v>
      </c>
      <c r="T269" s="213" t="s">
        <v>5055</v>
      </c>
      <c r="U269" s="213">
        <v>-15881</v>
      </c>
      <c r="V269" s="113">
        <v>374.61599999999999</v>
      </c>
      <c r="W269" s="113">
        <f t="shared" si="69"/>
        <v>-5949276.6959999995</v>
      </c>
      <c r="X269" s="99" t="s">
        <v>452</v>
      </c>
      <c r="AH269" s="20">
        <v>24</v>
      </c>
      <c r="AI269" s="20" t="s">
        <v>4499</v>
      </c>
      <c r="AJ269" s="117">
        <v>-147902</v>
      </c>
      <c r="AK269" s="20">
        <v>3</v>
      </c>
      <c r="AL269" s="99">
        <f t="shared" si="83"/>
        <v>451</v>
      </c>
      <c r="AM269" s="20">
        <f t="shared" si="82"/>
        <v>-66703802</v>
      </c>
      <c r="AN269" s="20"/>
    </row>
    <row r="270" spans="15:45">
      <c r="Q270" s="99" t="s">
        <v>5037</v>
      </c>
      <c r="R270" s="95">
        <v>400000</v>
      </c>
      <c r="S270" t="s">
        <v>25</v>
      </c>
      <c r="T270" s="213" t="s">
        <v>5061</v>
      </c>
      <c r="U270" s="213">
        <v>-41289</v>
      </c>
      <c r="V270" s="113">
        <v>372.27</v>
      </c>
      <c r="W270" s="113">
        <f t="shared" si="69"/>
        <v>-15370656.029999999</v>
      </c>
      <c r="X270" s="99" t="s">
        <v>452</v>
      </c>
      <c r="AH270" s="149">
        <v>25</v>
      </c>
      <c r="AI270" s="149" t="s">
        <v>4507</v>
      </c>
      <c r="AJ270" s="188">
        <v>-37200</v>
      </c>
      <c r="AK270" s="149">
        <v>4</v>
      </c>
      <c r="AL270" s="149">
        <f t="shared" si="83"/>
        <v>448</v>
      </c>
      <c r="AM270" s="195">
        <f t="shared" si="82"/>
        <v>-16665600</v>
      </c>
      <c r="AN270" s="149" t="s">
        <v>655</v>
      </c>
    </row>
    <row r="271" spans="15:45">
      <c r="Q271" s="99" t="s">
        <v>5044</v>
      </c>
      <c r="R271" s="95">
        <v>150000</v>
      </c>
      <c r="T271" s="213" t="s">
        <v>5067</v>
      </c>
      <c r="U271" s="213">
        <v>13563</v>
      </c>
      <c r="V271" s="113">
        <v>365.69799999999998</v>
      </c>
      <c r="W271" s="113">
        <f t="shared" si="69"/>
        <v>4959961.9739999995</v>
      </c>
      <c r="X271" s="99" t="s">
        <v>452</v>
      </c>
      <c r="AH271" s="99">
        <v>26</v>
      </c>
      <c r="AI271" s="99" t="s">
        <v>4538</v>
      </c>
      <c r="AJ271" s="117">
        <v>-372326</v>
      </c>
      <c r="AK271" s="99">
        <v>21</v>
      </c>
      <c r="AL271" s="99">
        <f t="shared" si="83"/>
        <v>444</v>
      </c>
      <c r="AM271" s="20">
        <f t="shared" si="82"/>
        <v>-165312744</v>
      </c>
      <c r="AN271" s="99"/>
      <c r="AR271" t="s">
        <v>25</v>
      </c>
    </row>
    <row r="272" spans="15:45">
      <c r="Q272" s="99" t="s">
        <v>5074</v>
      </c>
      <c r="R272" s="95">
        <v>-144950</v>
      </c>
      <c r="T272" s="213" t="s">
        <v>5067</v>
      </c>
      <c r="U272" s="213">
        <v>27344</v>
      </c>
      <c r="V272" s="113">
        <v>365.69799999999998</v>
      </c>
      <c r="W272" s="113">
        <f t="shared" si="69"/>
        <v>9999646.1119999997</v>
      </c>
      <c r="X272" s="99" t="s">
        <v>452</v>
      </c>
      <c r="AH272" s="99">
        <v>27</v>
      </c>
      <c r="AI272" s="99" t="s">
        <v>4589</v>
      </c>
      <c r="AJ272" s="117">
        <v>235062</v>
      </c>
      <c r="AK272" s="99">
        <v>0</v>
      </c>
      <c r="AL272" s="99">
        <f t="shared" si="83"/>
        <v>423</v>
      </c>
      <c r="AM272" s="20">
        <f t="shared" si="82"/>
        <v>99431226</v>
      </c>
      <c r="AN272" s="99"/>
    </row>
    <row r="273" spans="17:40" ht="30">
      <c r="Q273" s="99" t="s">
        <v>5104</v>
      </c>
      <c r="R273" s="95">
        <v>320000</v>
      </c>
      <c r="T273" s="213" t="s">
        <v>5074</v>
      </c>
      <c r="U273" s="213">
        <v>-103145</v>
      </c>
      <c r="V273" s="113">
        <v>393.334</v>
      </c>
      <c r="W273" s="113">
        <f t="shared" si="69"/>
        <v>-40570435.43</v>
      </c>
      <c r="X273" s="36" t="s">
        <v>5080</v>
      </c>
      <c r="Y273" t="s">
        <v>25</v>
      </c>
      <c r="AH273" s="149">
        <v>28</v>
      </c>
      <c r="AI273" s="149" t="s">
        <v>4589</v>
      </c>
      <c r="AJ273" s="188">
        <v>235062</v>
      </c>
      <c r="AK273" s="149">
        <v>9</v>
      </c>
      <c r="AL273" s="99">
        <f t="shared" si="83"/>
        <v>423</v>
      </c>
      <c r="AM273" s="149">
        <f t="shared" si="82"/>
        <v>99431226</v>
      </c>
      <c r="AN273" s="149" t="s">
        <v>655</v>
      </c>
    </row>
    <row r="274" spans="17:40">
      <c r="Q274" s="99" t="s">
        <v>5108</v>
      </c>
      <c r="R274" s="95">
        <v>500000</v>
      </c>
      <c r="S274" t="s">
        <v>25</v>
      </c>
      <c r="T274" s="213" t="s">
        <v>5074</v>
      </c>
      <c r="U274" s="213">
        <v>-369</v>
      </c>
      <c r="V274" s="113">
        <v>393.334</v>
      </c>
      <c r="W274" s="113">
        <f t="shared" si="69"/>
        <v>-145140.24600000001</v>
      </c>
      <c r="X274" s="36" t="s">
        <v>5157</v>
      </c>
      <c r="Y274" t="s">
        <v>25</v>
      </c>
      <c r="AH274" s="149">
        <v>29</v>
      </c>
      <c r="AI274" s="149" t="s">
        <v>4613</v>
      </c>
      <c r="AJ274" s="188">
        <v>450000</v>
      </c>
      <c r="AK274" s="149">
        <v>0</v>
      </c>
      <c r="AL274" s="99">
        <f t="shared" si="83"/>
        <v>414</v>
      </c>
      <c r="AM274" s="149">
        <f t="shared" si="82"/>
        <v>186300000</v>
      </c>
      <c r="AN274" s="149" t="s">
        <v>655</v>
      </c>
    </row>
    <row r="275" spans="17:40">
      <c r="Q275" s="99" t="s">
        <v>5153</v>
      </c>
      <c r="R275" s="95">
        <v>400000</v>
      </c>
      <c r="S275" t="s">
        <v>25</v>
      </c>
      <c r="T275" s="213" t="s">
        <v>5074</v>
      </c>
      <c r="U275" s="213">
        <v>-889</v>
      </c>
      <c r="V275" s="113">
        <v>393.334</v>
      </c>
      <c r="W275" s="113">
        <f t="shared" si="69"/>
        <v>-349673.92599999998</v>
      </c>
      <c r="X275" s="36" t="s">
        <v>5158</v>
      </c>
      <c r="AH275" s="20">
        <v>30</v>
      </c>
      <c r="AI275" s="20" t="s">
        <v>4613</v>
      </c>
      <c r="AJ275" s="117">
        <v>450000</v>
      </c>
      <c r="AK275" s="20">
        <v>22</v>
      </c>
      <c r="AL275" s="99">
        <f>AK275+AL276</f>
        <v>414</v>
      </c>
      <c r="AM275" s="20">
        <f t="shared" si="82"/>
        <v>186300000</v>
      </c>
      <c r="AN275" s="20"/>
    </row>
    <row r="276" spans="17:40">
      <c r="Q276" s="99" t="s">
        <v>5156</v>
      </c>
      <c r="R276" s="95">
        <v>50000</v>
      </c>
      <c r="S276" t="s">
        <v>25</v>
      </c>
      <c r="T276" s="213" t="s">
        <v>5084</v>
      </c>
      <c r="U276" s="213">
        <v>2546</v>
      </c>
      <c r="V276" s="113">
        <v>393</v>
      </c>
      <c r="W276" s="113">
        <f t="shared" si="69"/>
        <v>1000578</v>
      </c>
      <c r="X276" s="36" t="s">
        <v>452</v>
      </c>
      <c r="AH276" s="149">
        <v>31</v>
      </c>
      <c r="AI276" s="149" t="s">
        <v>4681</v>
      </c>
      <c r="AJ276" s="188">
        <v>300000</v>
      </c>
      <c r="AK276" s="149">
        <v>0</v>
      </c>
      <c r="AL276" s="149">
        <f t="shared" ref="AL276:AL291" si="84">AK276+AL277</f>
        <v>392</v>
      </c>
      <c r="AM276" s="149">
        <f t="shared" ref="AM276:AM279" si="85">AJ276*AL276</f>
        <v>117600000</v>
      </c>
      <c r="AN276" s="149"/>
    </row>
    <row r="277" spans="17:40" ht="30">
      <c r="Q277" s="99" t="s">
        <v>5166</v>
      </c>
      <c r="R277" s="95">
        <v>300000</v>
      </c>
      <c r="T277" s="213" t="s">
        <v>5085</v>
      </c>
      <c r="U277" s="213">
        <v>1034</v>
      </c>
      <c r="V277" s="113">
        <v>386.608</v>
      </c>
      <c r="W277" s="113">
        <f t="shared" si="69"/>
        <v>399752.67200000002</v>
      </c>
      <c r="X277" s="36" t="s">
        <v>452</v>
      </c>
      <c r="AH277" s="121">
        <v>32</v>
      </c>
      <c r="AI277" s="121" t="s">
        <v>4681</v>
      </c>
      <c r="AJ277" s="79">
        <v>288936</v>
      </c>
      <c r="AK277" s="121">
        <v>3</v>
      </c>
      <c r="AL277" s="121">
        <f t="shared" si="84"/>
        <v>392</v>
      </c>
      <c r="AM277" s="121">
        <f t="shared" si="85"/>
        <v>113262912</v>
      </c>
      <c r="AN277" s="205" t="s">
        <v>4692</v>
      </c>
    </row>
    <row r="278" spans="17:40">
      <c r="Q278" s="99" t="s">
        <v>5192</v>
      </c>
      <c r="R278" s="95">
        <v>250000</v>
      </c>
      <c r="T278" s="213" t="s">
        <v>5092</v>
      </c>
      <c r="U278" s="213">
        <v>300</v>
      </c>
      <c r="V278" s="113">
        <v>400</v>
      </c>
      <c r="W278" s="113">
        <f t="shared" si="69"/>
        <v>120000</v>
      </c>
      <c r="X278" s="36" t="s">
        <v>452</v>
      </c>
      <c r="AH278" s="121">
        <v>33</v>
      </c>
      <c r="AI278" s="121" t="s">
        <v>4690</v>
      </c>
      <c r="AJ278" s="79">
        <v>17962491</v>
      </c>
      <c r="AK278" s="121">
        <v>1</v>
      </c>
      <c r="AL278" s="121">
        <f t="shared" si="84"/>
        <v>389</v>
      </c>
      <c r="AM278" s="121">
        <f t="shared" si="85"/>
        <v>6987408999</v>
      </c>
      <c r="AN278" s="121" t="s">
        <v>4697</v>
      </c>
    </row>
    <row r="279" spans="17:40">
      <c r="Q279" s="99" t="s">
        <v>5227</v>
      </c>
      <c r="R279" s="95">
        <v>200000</v>
      </c>
      <c r="T279" s="213" t="s">
        <v>5104</v>
      </c>
      <c r="U279" s="213">
        <v>782</v>
      </c>
      <c r="V279" s="113">
        <v>409</v>
      </c>
      <c r="W279" s="113">
        <f t="shared" si="69"/>
        <v>319838</v>
      </c>
      <c r="X279" s="36" t="s">
        <v>749</v>
      </c>
      <c r="AH279" s="121">
        <v>34</v>
      </c>
      <c r="AI279" s="121" t="s">
        <v>3680</v>
      </c>
      <c r="AJ279" s="79">
        <v>18363511</v>
      </c>
      <c r="AK279" s="121">
        <v>1</v>
      </c>
      <c r="AL279" s="121">
        <f t="shared" si="84"/>
        <v>388</v>
      </c>
      <c r="AM279" s="121">
        <f t="shared" si="85"/>
        <v>7125042268</v>
      </c>
      <c r="AN279" s="121" t="s">
        <v>4697</v>
      </c>
    </row>
    <row r="280" spans="17:40">
      <c r="Q280" s="99" t="s">
        <v>5262</v>
      </c>
      <c r="R280" s="95">
        <v>122000</v>
      </c>
      <c r="T280" s="213" t="s">
        <v>5108</v>
      </c>
      <c r="U280" s="213">
        <v>1220</v>
      </c>
      <c r="V280" s="113">
        <v>409.9</v>
      </c>
      <c r="W280" s="113">
        <f t="shared" si="69"/>
        <v>500078</v>
      </c>
      <c r="X280" s="36" t="s">
        <v>749</v>
      </c>
      <c r="AH280" s="121">
        <v>35</v>
      </c>
      <c r="AI280" s="121" t="s">
        <v>4703</v>
      </c>
      <c r="AJ280" s="79">
        <v>23622417</v>
      </c>
      <c r="AK280" s="121">
        <v>5</v>
      </c>
      <c r="AL280" s="121">
        <f t="shared" si="84"/>
        <v>387</v>
      </c>
      <c r="AM280" s="121">
        <f t="shared" ref="AM280:AM283" si="86">AJ280*AL280</f>
        <v>9141875379</v>
      </c>
      <c r="AN280" s="121" t="s">
        <v>4706</v>
      </c>
    </row>
    <row r="281" spans="17:40">
      <c r="Q281" s="99" t="s">
        <v>5270</v>
      </c>
      <c r="R281" s="95">
        <v>200000</v>
      </c>
      <c r="S281" t="s">
        <v>25</v>
      </c>
      <c r="T281" s="213" t="s">
        <v>5110</v>
      </c>
      <c r="U281" s="213">
        <v>1285</v>
      </c>
      <c r="V281" s="113">
        <v>388.84</v>
      </c>
      <c r="W281" s="113">
        <f t="shared" si="69"/>
        <v>499659.39999999997</v>
      </c>
      <c r="X281" s="36" t="s">
        <v>452</v>
      </c>
      <c r="AH281" s="121">
        <v>36</v>
      </c>
      <c r="AI281" s="121" t="s">
        <v>4719</v>
      </c>
      <c r="AJ281" s="79">
        <v>82496108</v>
      </c>
      <c r="AK281" s="121">
        <v>1</v>
      </c>
      <c r="AL281" s="121">
        <f t="shared" si="84"/>
        <v>382</v>
      </c>
      <c r="AM281" s="121">
        <f t="shared" si="86"/>
        <v>31513513256</v>
      </c>
      <c r="AN281" s="121" t="s">
        <v>4722</v>
      </c>
    </row>
    <row r="282" spans="17:40">
      <c r="Q282" s="99" t="s">
        <v>5282</v>
      </c>
      <c r="R282" s="95">
        <v>60000</v>
      </c>
      <c r="T282" s="213" t="s">
        <v>5097</v>
      </c>
      <c r="U282" s="213">
        <v>1924</v>
      </c>
      <c r="V282" s="113">
        <v>386.69600000000003</v>
      </c>
      <c r="W282" s="113">
        <f t="shared" si="69"/>
        <v>744003.10400000005</v>
      </c>
      <c r="X282" s="36" t="s">
        <v>452</v>
      </c>
      <c r="AH282" s="121">
        <v>37</v>
      </c>
      <c r="AI282" s="121" t="s">
        <v>4721</v>
      </c>
      <c r="AJ282" s="79">
        <v>74657561</v>
      </c>
      <c r="AK282" s="121">
        <v>16</v>
      </c>
      <c r="AL282" s="121">
        <f t="shared" si="84"/>
        <v>381</v>
      </c>
      <c r="AM282" s="121">
        <f t="shared" si="86"/>
        <v>28444530741</v>
      </c>
      <c r="AN282" s="121" t="s">
        <v>4727</v>
      </c>
    </row>
    <row r="283" spans="17:40">
      <c r="Q283" s="99" t="s">
        <v>5344</v>
      </c>
      <c r="R283" s="95">
        <v>-200000</v>
      </c>
      <c r="S283" t="s">
        <v>25</v>
      </c>
      <c r="T283" s="213" t="s">
        <v>5126</v>
      </c>
      <c r="U283" s="213">
        <v>165</v>
      </c>
      <c r="V283" s="113">
        <v>393.5</v>
      </c>
      <c r="W283" s="113">
        <f t="shared" si="69"/>
        <v>64927.5</v>
      </c>
      <c r="X283" s="36" t="s">
        <v>452</v>
      </c>
      <c r="AH283" s="99">
        <v>38</v>
      </c>
      <c r="AI283" s="99" t="s">
        <v>4796</v>
      </c>
      <c r="AJ283" s="117">
        <v>665000</v>
      </c>
      <c r="AK283" s="99">
        <v>0</v>
      </c>
      <c r="AL283" s="99">
        <f t="shared" si="84"/>
        <v>365</v>
      </c>
      <c r="AM283" s="20">
        <f t="shared" si="86"/>
        <v>242725000</v>
      </c>
      <c r="AN283" s="99"/>
    </row>
    <row r="284" spans="17:40" ht="30">
      <c r="Q284" s="99" t="s">
        <v>5426</v>
      </c>
      <c r="R284" s="95">
        <v>-9000000</v>
      </c>
      <c r="T284" s="213" t="s">
        <v>5132</v>
      </c>
      <c r="U284" s="213">
        <v>-34859</v>
      </c>
      <c r="V284" s="113">
        <v>403.1585</v>
      </c>
      <c r="W284" s="113">
        <f t="shared" si="69"/>
        <v>-14053702.1515</v>
      </c>
      <c r="X284" s="36" t="s">
        <v>5135</v>
      </c>
      <c r="AH284" s="149">
        <v>39</v>
      </c>
      <c r="AI284" s="149" t="s">
        <v>4796</v>
      </c>
      <c r="AJ284" s="188">
        <v>665000</v>
      </c>
      <c r="AK284" s="149">
        <v>4</v>
      </c>
      <c r="AL284" s="195">
        <f t="shared" si="84"/>
        <v>365</v>
      </c>
      <c r="AM284" s="195">
        <f t="shared" ref="AM284:AM285" si="87">AJ284*AL284</f>
        <v>242725000</v>
      </c>
      <c r="AN284" s="195"/>
    </row>
    <row r="285" spans="17:40">
      <c r="Q285" s="99" t="s">
        <v>5505</v>
      </c>
      <c r="R285" s="95">
        <v>-26000000</v>
      </c>
      <c r="T285" s="213" t="s">
        <v>5098</v>
      </c>
      <c r="U285" s="213">
        <v>8476</v>
      </c>
      <c r="V285" s="113">
        <v>419.49900000000002</v>
      </c>
      <c r="W285" s="113">
        <f t="shared" si="69"/>
        <v>3555673.5240000002</v>
      </c>
      <c r="X285" s="36" t="s">
        <v>5141</v>
      </c>
      <c r="AH285" s="20">
        <v>40</v>
      </c>
      <c r="AI285" s="20" t="s">
        <v>4805</v>
      </c>
      <c r="AJ285" s="117">
        <v>2000000</v>
      </c>
      <c r="AK285" s="20">
        <v>1</v>
      </c>
      <c r="AL285" s="99">
        <f t="shared" si="84"/>
        <v>361</v>
      </c>
      <c r="AM285" s="20">
        <f t="shared" si="87"/>
        <v>722000000</v>
      </c>
      <c r="AN285" s="99"/>
    </row>
    <row r="286" spans="17:40">
      <c r="Q286" s="99" t="s">
        <v>5514</v>
      </c>
      <c r="R286" s="95">
        <v>-95900000</v>
      </c>
      <c r="T286" s="213" t="s">
        <v>5153</v>
      </c>
      <c r="U286" s="213">
        <v>903</v>
      </c>
      <c r="V286" s="113">
        <v>442.77379999999999</v>
      </c>
      <c r="W286" s="113">
        <f t="shared" si="69"/>
        <v>399824.7414</v>
      </c>
      <c r="X286" s="36" t="s">
        <v>749</v>
      </c>
      <c r="AH286" s="20">
        <v>41</v>
      </c>
      <c r="AI286" s="20" t="s">
        <v>4810</v>
      </c>
      <c r="AJ286" s="117">
        <v>-2060725</v>
      </c>
      <c r="AK286" s="20">
        <v>0</v>
      </c>
      <c r="AL286" s="99">
        <f t="shared" si="84"/>
        <v>360</v>
      </c>
      <c r="AM286" s="20">
        <f t="shared" ref="AM286:AM291" si="88">AJ286*AL286</f>
        <v>-741861000</v>
      </c>
      <c r="AN286" s="99" t="s">
        <v>4811</v>
      </c>
    </row>
    <row r="287" spans="17:40">
      <c r="Q287" s="99" t="s">
        <v>5515</v>
      </c>
      <c r="R287" s="95">
        <v>-28950000</v>
      </c>
      <c r="S287" t="s">
        <v>25</v>
      </c>
      <c r="T287" s="213" t="s">
        <v>5156</v>
      </c>
      <c r="U287" s="213">
        <v>113</v>
      </c>
      <c r="V287" s="113">
        <v>442.48200000000003</v>
      </c>
      <c r="W287" s="113">
        <f t="shared" ref="W287:W350" si="89">U287*V287</f>
        <v>50000.466</v>
      </c>
      <c r="X287" s="36" t="s">
        <v>749</v>
      </c>
      <c r="AH287" s="149">
        <v>42</v>
      </c>
      <c r="AI287" s="149" t="s">
        <v>4810</v>
      </c>
      <c r="AJ287" s="188">
        <v>-433375</v>
      </c>
      <c r="AK287" s="149">
        <v>0</v>
      </c>
      <c r="AL287" s="149">
        <f t="shared" si="84"/>
        <v>360</v>
      </c>
      <c r="AM287" s="149">
        <f t="shared" si="88"/>
        <v>-156015000</v>
      </c>
      <c r="AN287" s="149" t="s">
        <v>4812</v>
      </c>
    </row>
    <row r="288" spans="17:40">
      <c r="Q288" s="99"/>
      <c r="R288" s="95"/>
      <c r="S288" t="s">
        <v>25</v>
      </c>
      <c r="T288" s="213" t="s">
        <v>5166</v>
      </c>
      <c r="U288" s="213">
        <v>671</v>
      </c>
      <c r="V288" s="113">
        <v>447</v>
      </c>
      <c r="W288" s="113">
        <f t="shared" si="89"/>
        <v>299937</v>
      </c>
      <c r="X288" s="36" t="s">
        <v>749</v>
      </c>
      <c r="AH288" s="20">
        <v>43</v>
      </c>
      <c r="AI288" s="20" t="s">
        <v>4810</v>
      </c>
      <c r="AJ288" s="117">
        <v>28000000</v>
      </c>
      <c r="AK288" s="20">
        <v>1</v>
      </c>
      <c r="AL288" s="99">
        <f t="shared" si="84"/>
        <v>360</v>
      </c>
      <c r="AM288" s="20">
        <f t="shared" si="88"/>
        <v>10080000000</v>
      </c>
      <c r="AN288" s="99" t="s">
        <v>3887</v>
      </c>
    </row>
    <row r="289" spans="15:44">
      <c r="Q289" s="99"/>
      <c r="R289" s="95"/>
      <c r="T289" s="213" t="s">
        <v>5168</v>
      </c>
      <c r="U289" s="213">
        <v>7</v>
      </c>
      <c r="V289" s="113">
        <v>465.31200000000001</v>
      </c>
      <c r="W289" s="113">
        <f t="shared" si="89"/>
        <v>3257.1840000000002</v>
      </c>
      <c r="X289" s="36" t="s">
        <v>452</v>
      </c>
      <c r="AH289" s="20">
        <v>44</v>
      </c>
      <c r="AI289" s="20" t="s">
        <v>4819</v>
      </c>
      <c r="AJ289" s="117">
        <v>160000</v>
      </c>
      <c r="AK289" s="20">
        <v>0</v>
      </c>
      <c r="AL289" s="99">
        <f t="shared" si="84"/>
        <v>359</v>
      </c>
      <c r="AM289" s="20">
        <f t="shared" si="88"/>
        <v>57440000</v>
      </c>
      <c r="AN289" s="99"/>
    </row>
    <row r="290" spans="15:44">
      <c r="Q290" s="99"/>
      <c r="R290" s="95">
        <f>SUM(R244:R289)</f>
        <v>276933825</v>
      </c>
      <c r="T290" s="213" t="s">
        <v>5174</v>
      </c>
      <c r="U290" s="213">
        <v>12950</v>
      </c>
      <c r="V290" s="113">
        <v>463.31599999999997</v>
      </c>
      <c r="W290" s="113">
        <f t="shared" si="89"/>
        <v>5999942.1999999993</v>
      </c>
      <c r="X290" s="36" t="s">
        <v>452</v>
      </c>
      <c r="AH290" s="149">
        <v>45</v>
      </c>
      <c r="AI290" s="149" t="s">
        <v>4819</v>
      </c>
      <c r="AJ290" s="188">
        <v>70000</v>
      </c>
      <c r="AK290" s="149">
        <v>9</v>
      </c>
      <c r="AL290" s="149">
        <f t="shared" si="84"/>
        <v>359</v>
      </c>
      <c r="AM290" s="149">
        <f t="shared" si="88"/>
        <v>25130000</v>
      </c>
      <c r="AN290" s="149"/>
    </row>
    <row r="291" spans="15:44">
      <c r="Q291" s="99"/>
      <c r="R291" s="99" t="s">
        <v>6</v>
      </c>
      <c r="T291" s="213" t="s">
        <v>5177</v>
      </c>
      <c r="U291" s="213">
        <v>37</v>
      </c>
      <c r="V291" s="113">
        <v>463.315</v>
      </c>
      <c r="W291" s="113">
        <f t="shared" si="89"/>
        <v>17142.654999999999</v>
      </c>
      <c r="X291" s="36" t="s">
        <v>452</v>
      </c>
      <c r="AH291" s="20">
        <v>46</v>
      </c>
      <c r="AI291" s="20" t="s">
        <v>4826</v>
      </c>
      <c r="AJ291" s="117">
        <v>850000</v>
      </c>
      <c r="AK291" s="20">
        <v>0</v>
      </c>
      <c r="AL291" s="99">
        <f t="shared" si="84"/>
        <v>350</v>
      </c>
      <c r="AM291" s="20">
        <f t="shared" si="88"/>
        <v>297500000</v>
      </c>
      <c r="AN291" s="99"/>
    </row>
    <row r="292" spans="15:44">
      <c r="R292" t="s">
        <v>25</v>
      </c>
      <c r="T292" s="213" t="s">
        <v>5178</v>
      </c>
      <c r="U292" s="213">
        <v>19</v>
      </c>
      <c r="V292" s="113">
        <v>434.3</v>
      </c>
      <c r="W292" s="113">
        <f t="shared" si="89"/>
        <v>8251.7000000000007</v>
      </c>
      <c r="X292" s="36" t="s">
        <v>452</v>
      </c>
      <c r="AH292" s="195">
        <v>47</v>
      </c>
      <c r="AI292" s="195" t="s">
        <v>4826</v>
      </c>
      <c r="AJ292" s="196">
        <v>20000</v>
      </c>
      <c r="AK292" s="195">
        <v>4</v>
      </c>
      <c r="AL292" s="195">
        <f t="shared" ref="AL292:AL300" si="90">AK292+AL293</f>
        <v>350</v>
      </c>
      <c r="AM292" s="195">
        <f t="shared" ref="AM292:AM300" si="91">AJ292*AL292</f>
        <v>7000000</v>
      </c>
      <c r="AN292" s="195"/>
    </row>
    <row r="293" spans="15:44">
      <c r="S293" t="s">
        <v>25</v>
      </c>
      <c r="T293" s="213" t="s">
        <v>5180</v>
      </c>
      <c r="U293" s="213">
        <v>16</v>
      </c>
      <c r="V293" s="113">
        <v>439</v>
      </c>
      <c r="W293" s="113">
        <f t="shared" si="89"/>
        <v>7024</v>
      </c>
      <c r="X293" s="36" t="s">
        <v>452</v>
      </c>
      <c r="AH293" s="195">
        <v>48</v>
      </c>
      <c r="AI293" s="195" t="s">
        <v>4839</v>
      </c>
      <c r="AJ293" s="196">
        <v>30000000</v>
      </c>
      <c r="AK293" s="195">
        <v>27</v>
      </c>
      <c r="AL293" s="195">
        <f t="shared" si="90"/>
        <v>346</v>
      </c>
      <c r="AM293" s="195">
        <f t="shared" si="91"/>
        <v>10380000000</v>
      </c>
      <c r="AN293" s="195" t="s">
        <v>4840</v>
      </c>
    </row>
    <row r="294" spans="15:44" ht="45">
      <c r="Q294" s="99" t="s">
        <v>452</v>
      </c>
      <c r="R294" s="99"/>
      <c r="T294" s="213" t="s">
        <v>5180</v>
      </c>
      <c r="U294" s="213">
        <v>9191</v>
      </c>
      <c r="V294" s="113">
        <v>440.24630000000002</v>
      </c>
      <c r="W294" s="113">
        <f t="shared" si="89"/>
        <v>4046303.7433000002</v>
      </c>
      <c r="X294" s="36" t="s">
        <v>5181</v>
      </c>
      <c r="AH294" s="20">
        <v>49</v>
      </c>
      <c r="AI294" s="20" t="s">
        <v>4915</v>
      </c>
      <c r="AJ294" s="117">
        <v>1100000</v>
      </c>
      <c r="AK294" s="20">
        <v>1</v>
      </c>
      <c r="AL294" s="20">
        <f t="shared" si="90"/>
        <v>319</v>
      </c>
      <c r="AM294" s="20">
        <f t="shared" si="91"/>
        <v>350900000</v>
      </c>
      <c r="AN294" s="20"/>
    </row>
    <row r="295" spans="15:44">
      <c r="Q295" s="99" t="s">
        <v>4428</v>
      </c>
      <c r="R295" s="95">
        <v>63115000</v>
      </c>
      <c r="T295" s="213" t="s">
        <v>5183</v>
      </c>
      <c r="U295" s="213">
        <v>-8792</v>
      </c>
      <c r="V295" s="113">
        <v>441.90665999999999</v>
      </c>
      <c r="W295" s="113">
        <f t="shared" si="89"/>
        <v>-3885243.3547199997</v>
      </c>
      <c r="X295" s="36" t="s">
        <v>5184</v>
      </c>
      <c r="AH295" s="20">
        <v>50</v>
      </c>
      <c r="AI295" s="20" t="s">
        <v>4917</v>
      </c>
      <c r="AJ295" s="117">
        <v>450000</v>
      </c>
      <c r="AK295" s="20">
        <v>0</v>
      </c>
      <c r="AL295" s="20">
        <f t="shared" si="90"/>
        <v>318</v>
      </c>
      <c r="AM295" s="20">
        <f t="shared" si="91"/>
        <v>143100000</v>
      </c>
      <c r="AN295" s="20"/>
    </row>
    <row r="296" spans="15:44">
      <c r="Q296" s="99" t="s">
        <v>4481</v>
      </c>
      <c r="R296" s="95">
        <v>13300000</v>
      </c>
      <c r="T296" s="189" t="s">
        <v>5187</v>
      </c>
      <c r="U296" s="189">
        <v>24374</v>
      </c>
      <c r="V296" s="188">
        <v>471.81700000000001</v>
      </c>
      <c r="W296" s="188">
        <f t="shared" si="89"/>
        <v>11500067.558</v>
      </c>
      <c r="X296" s="284" t="s">
        <v>5190</v>
      </c>
      <c r="AH296" s="149">
        <v>51</v>
      </c>
      <c r="AI296" s="149" t="s">
        <v>4917</v>
      </c>
      <c r="AJ296" s="188">
        <v>550000</v>
      </c>
      <c r="AK296" s="149">
        <v>1</v>
      </c>
      <c r="AL296" s="149">
        <f t="shared" si="90"/>
        <v>318</v>
      </c>
      <c r="AM296" s="149">
        <f t="shared" si="91"/>
        <v>174900000</v>
      </c>
      <c r="AN296" s="149"/>
    </row>
    <row r="297" spans="15:44">
      <c r="Q297" s="99" t="s">
        <v>4489</v>
      </c>
      <c r="R297" s="95">
        <v>2269000</v>
      </c>
      <c r="T297" s="213" t="s">
        <v>5192</v>
      </c>
      <c r="U297" s="213">
        <v>530</v>
      </c>
      <c r="V297" s="113">
        <v>472</v>
      </c>
      <c r="W297" s="113">
        <f t="shared" si="89"/>
        <v>250160</v>
      </c>
      <c r="X297" s="36" t="s">
        <v>749</v>
      </c>
      <c r="AH297" s="149">
        <v>52</v>
      </c>
      <c r="AI297" s="149" t="s">
        <v>4919</v>
      </c>
      <c r="AJ297" s="188">
        <v>1000000</v>
      </c>
      <c r="AK297" s="149">
        <v>8</v>
      </c>
      <c r="AL297" s="149">
        <f t="shared" si="90"/>
        <v>317</v>
      </c>
      <c r="AM297" s="149">
        <f t="shared" si="91"/>
        <v>317000000</v>
      </c>
      <c r="AN297" s="149"/>
    </row>
    <row r="298" spans="15:44" ht="30">
      <c r="O298" t="s">
        <v>25</v>
      </c>
      <c r="Q298" s="99" t="s">
        <v>4603</v>
      </c>
      <c r="R298" s="95">
        <v>25071612</v>
      </c>
      <c r="T298" s="213" t="s">
        <v>5192</v>
      </c>
      <c r="U298" s="213">
        <v>12</v>
      </c>
      <c r="V298" s="113">
        <v>481.86</v>
      </c>
      <c r="W298" s="113">
        <f t="shared" si="89"/>
        <v>5782.32</v>
      </c>
      <c r="X298" s="36" t="s">
        <v>5194</v>
      </c>
      <c r="AH298" s="20">
        <v>53</v>
      </c>
      <c r="AI298" s="20" t="s">
        <v>4929</v>
      </c>
      <c r="AJ298" s="117">
        <v>-2668880</v>
      </c>
      <c r="AK298" s="20">
        <v>0</v>
      </c>
      <c r="AL298" s="20">
        <f t="shared" si="90"/>
        <v>309</v>
      </c>
      <c r="AM298" s="20">
        <f t="shared" si="91"/>
        <v>-824683920</v>
      </c>
      <c r="AN298" s="20" t="s">
        <v>4931</v>
      </c>
    </row>
    <row r="299" spans="15:44">
      <c r="Q299" s="99" t="s">
        <v>4612</v>
      </c>
      <c r="R299" s="95">
        <v>42236984</v>
      </c>
      <c r="T299" s="189" t="s">
        <v>5217</v>
      </c>
      <c r="U299" s="189">
        <v>12330</v>
      </c>
      <c r="V299" s="188">
        <v>486.63443869999998</v>
      </c>
      <c r="W299" s="188">
        <f t="shared" si="89"/>
        <v>6000202.6291709999</v>
      </c>
      <c r="X299" s="284" t="s">
        <v>5190</v>
      </c>
      <c r="AH299" s="149">
        <v>54</v>
      </c>
      <c r="AI299" s="149" t="s">
        <v>4929</v>
      </c>
      <c r="AJ299" s="188">
        <v>-1528620</v>
      </c>
      <c r="AK299" s="149">
        <v>0</v>
      </c>
      <c r="AL299" s="149">
        <f t="shared" si="90"/>
        <v>309</v>
      </c>
      <c r="AM299" s="149">
        <f t="shared" si="91"/>
        <v>-472343580</v>
      </c>
      <c r="AN299" s="149" t="s">
        <v>4931</v>
      </c>
    </row>
    <row r="300" spans="15:44">
      <c r="Q300" s="99" t="s">
        <v>4613</v>
      </c>
      <c r="R300" s="95">
        <v>19663646</v>
      </c>
      <c r="T300" s="213" t="s">
        <v>5219</v>
      </c>
      <c r="U300" s="213">
        <v>846</v>
      </c>
      <c r="V300" s="113">
        <v>472.7</v>
      </c>
      <c r="W300" s="113">
        <f t="shared" si="89"/>
        <v>399904.2</v>
      </c>
      <c r="X300" s="36" t="s">
        <v>452</v>
      </c>
      <c r="AH300" s="20">
        <v>55</v>
      </c>
      <c r="AI300" s="20" t="s">
        <v>4929</v>
      </c>
      <c r="AJ300" s="117">
        <v>50000000</v>
      </c>
      <c r="AK300" s="20">
        <v>4</v>
      </c>
      <c r="AL300" s="20">
        <f t="shared" si="90"/>
        <v>309</v>
      </c>
      <c r="AM300" s="20">
        <f t="shared" si="91"/>
        <v>15450000000</v>
      </c>
      <c r="AN300" s="20"/>
      <c r="AR300" t="s">
        <v>25</v>
      </c>
    </row>
    <row r="301" spans="15:44">
      <c r="Q301" s="99" t="s">
        <v>4636</v>
      </c>
      <c r="R301" s="95">
        <v>4374525</v>
      </c>
      <c r="T301" s="189" t="s">
        <v>5219</v>
      </c>
      <c r="U301" s="189">
        <v>3173</v>
      </c>
      <c r="V301" s="188">
        <v>472.7</v>
      </c>
      <c r="W301" s="188">
        <f t="shared" si="89"/>
        <v>1499877.0999999999</v>
      </c>
      <c r="X301" s="284" t="s">
        <v>5355</v>
      </c>
      <c r="AH301" s="20">
        <v>56</v>
      </c>
      <c r="AI301" s="20" t="s">
        <v>4935</v>
      </c>
      <c r="AJ301" s="117">
        <v>400000</v>
      </c>
      <c r="AK301" s="20">
        <v>4</v>
      </c>
      <c r="AL301" s="20">
        <f t="shared" ref="AL301:AL310" si="92">AK301+AL302</f>
        <v>305</v>
      </c>
      <c r="AM301" s="20">
        <f t="shared" ref="AM301:AM310" si="93">AJ301*AL301</f>
        <v>122000000</v>
      </c>
      <c r="AN301" s="20"/>
    </row>
    <row r="302" spans="15:44">
      <c r="Q302" s="99" t="s">
        <v>4647</v>
      </c>
      <c r="R302" s="95">
        <v>6550580</v>
      </c>
      <c r="T302" s="213" t="s">
        <v>5223</v>
      </c>
      <c r="U302" s="213">
        <v>191</v>
      </c>
      <c r="V302" s="113">
        <v>484.572</v>
      </c>
      <c r="W302" s="113">
        <f t="shared" si="89"/>
        <v>92553.252000000008</v>
      </c>
      <c r="X302" s="36" t="s">
        <v>5224</v>
      </c>
      <c r="Y302" t="s">
        <v>25</v>
      </c>
      <c r="AH302" s="20">
        <v>57</v>
      </c>
      <c r="AI302" s="20" t="s">
        <v>4947</v>
      </c>
      <c r="AJ302" s="117">
        <v>2000000</v>
      </c>
      <c r="AK302" s="20">
        <v>3</v>
      </c>
      <c r="AL302" s="20">
        <f t="shared" si="92"/>
        <v>301</v>
      </c>
      <c r="AM302" s="20">
        <f t="shared" si="93"/>
        <v>602000000</v>
      </c>
      <c r="AN302" s="20"/>
    </row>
    <row r="303" spans="15:44">
      <c r="Q303" s="99" t="s">
        <v>4649</v>
      </c>
      <c r="R303" s="95">
        <v>7054895</v>
      </c>
      <c r="T303" s="213" t="s">
        <v>5223</v>
      </c>
      <c r="U303" s="213">
        <v>-206</v>
      </c>
      <c r="V303" s="113">
        <v>484.572</v>
      </c>
      <c r="W303" s="113">
        <f t="shared" si="89"/>
        <v>-99821.831999999995</v>
      </c>
      <c r="X303" s="36" t="s">
        <v>5226</v>
      </c>
      <c r="Y303" t="s">
        <v>25</v>
      </c>
      <c r="AH303" s="20">
        <v>58</v>
      </c>
      <c r="AI303" s="20" t="s">
        <v>4950</v>
      </c>
      <c r="AJ303" s="117">
        <v>100000</v>
      </c>
      <c r="AK303" s="20">
        <v>4</v>
      </c>
      <c r="AL303" s="20">
        <f t="shared" si="92"/>
        <v>298</v>
      </c>
      <c r="AM303" s="20">
        <f t="shared" si="93"/>
        <v>29800000</v>
      </c>
      <c r="AN303" s="20" t="s">
        <v>3887</v>
      </c>
    </row>
    <row r="304" spans="15:44">
      <c r="Q304" s="99" t="s">
        <v>4668</v>
      </c>
      <c r="R304" s="95">
        <v>2145814</v>
      </c>
      <c r="T304" s="213" t="s">
        <v>5227</v>
      </c>
      <c r="U304" s="213">
        <v>20685</v>
      </c>
      <c r="V304" s="113">
        <v>483.43312200000003</v>
      </c>
      <c r="W304" s="113">
        <f t="shared" si="89"/>
        <v>9999814.1285699997</v>
      </c>
      <c r="X304" s="36" t="s">
        <v>5229</v>
      </c>
      <c r="AH304" s="20">
        <v>59</v>
      </c>
      <c r="AI304" s="20" t="s">
        <v>4961</v>
      </c>
      <c r="AJ304" s="117">
        <v>100000</v>
      </c>
      <c r="AK304" s="20">
        <v>7</v>
      </c>
      <c r="AL304" s="20">
        <f t="shared" si="92"/>
        <v>294</v>
      </c>
      <c r="AM304" s="20">
        <f t="shared" si="93"/>
        <v>29400000</v>
      </c>
      <c r="AN304" s="20"/>
    </row>
    <row r="305" spans="16:40">
      <c r="Q305" s="99" t="s">
        <v>4679</v>
      </c>
      <c r="R305" s="95">
        <v>4369730</v>
      </c>
      <c r="T305" s="213" t="s">
        <v>5227</v>
      </c>
      <c r="U305" s="213">
        <v>-413</v>
      </c>
      <c r="V305" s="113">
        <v>483.40199999999999</v>
      </c>
      <c r="W305" s="113">
        <f t="shared" si="89"/>
        <v>-199645.02599999998</v>
      </c>
      <c r="X305" s="36" t="s">
        <v>4435</v>
      </c>
      <c r="AH305" s="20">
        <v>60</v>
      </c>
      <c r="AI305" s="20" t="s">
        <v>4976</v>
      </c>
      <c r="AJ305" s="117">
        <v>50000</v>
      </c>
      <c r="AK305" s="20">
        <v>0</v>
      </c>
      <c r="AL305" s="20">
        <f t="shared" si="92"/>
        <v>287</v>
      </c>
      <c r="AM305" s="20">
        <f t="shared" si="93"/>
        <v>14350000</v>
      </c>
      <c r="AN305" s="20"/>
    </row>
    <row r="306" spans="16:40">
      <c r="Q306" s="99" t="s">
        <v>4681</v>
      </c>
      <c r="R306" s="95">
        <v>8739459</v>
      </c>
      <c r="T306" s="213" t="s">
        <v>5227</v>
      </c>
      <c r="U306" s="213">
        <v>413</v>
      </c>
      <c r="V306" s="113">
        <v>483.40199999999999</v>
      </c>
      <c r="W306" s="113">
        <f t="shared" si="89"/>
        <v>199645.02599999998</v>
      </c>
      <c r="X306" s="36" t="s">
        <v>749</v>
      </c>
      <c r="AH306" s="149">
        <v>61</v>
      </c>
      <c r="AI306" s="149" t="s">
        <v>4976</v>
      </c>
      <c r="AJ306" s="188">
        <v>50000</v>
      </c>
      <c r="AK306" s="149">
        <v>3</v>
      </c>
      <c r="AL306" s="149">
        <f t="shared" si="92"/>
        <v>287</v>
      </c>
      <c r="AM306" s="149">
        <f t="shared" si="93"/>
        <v>14350000</v>
      </c>
      <c r="AN306" s="149"/>
    </row>
    <row r="307" spans="16:40">
      <c r="Q307" s="99" t="s">
        <v>4690</v>
      </c>
      <c r="R307" s="95">
        <v>6667654</v>
      </c>
      <c r="T307" s="213" t="s">
        <v>5232</v>
      </c>
      <c r="U307" s="213">
        <v>-828</v>
      </c>
      <c r="V307" s="113">
        <v>483.43312200000003</v>
      </c>
      <c r="W307" s="113">
        <f t="shared" si="89"/>
        <v>-400282.62501600001</v>
      </c>
      <c r="X307" s="36" t="s">
        <v>452</v>
      </c>
      <c r="AH307" s="20">
        <v>62</v>
      </c>
      <c r="AI307" s="20" t="s">
        <v>4981</v>
      </c>
      <c r="AJ307" s="117">
        <v>50000</v>
      </c>
      <c r="AK307" s="20">
        <v>0</v>
      </c>
      <c r="AL307" s="20">
        <f t="shared" si="92"/>
        <v>284</v>
      </c>
      <c r="AM307" s="20">
        <f t="shared" si="93"/>
        <v>14200000</v>
      </c>
      <c r="AN307" s="20"/>
    </row>
    <row r="308" spans="16:40">
      <c r="Q308" s="99" t="s">
        <v>3680</v>
      </c>
      <c r="R308" s="95">
        <v>8981245</v>
      </c>
      <c r="T308" s="213" t="s">
        <v>5235</v>
      </c>
      <c r="U308" s="213">
        <v>12</v>
      </c>
      <c r="V308" s="113">
        <v>473.61898300000001</v>
      </c>
      <c r="W308" s="113">
        <f t="shared" si="89"/>
        <v>5683.4277959999999</v>
      </c>
      <c r="X308" s="36" t="s">
        <v>452</v>
      </c>
      <c r="AH308" s="195">
        <v>63</v>
      </c>
      <c r="AI308" s="195" t="s">
        <v>4981</v>
      </c>
      <c r="AJ308" s="196">
        <v>50000</v>
      </c>
      <c r="AK308" s="195">
        <v>2</v>
      </c>
      <c r="AL308" s="195">
        <f t="shared" si="92"/>
        <v>284</v>
      </c>
      <c r="AM308" s="195">
        <f t="shared" si="93"/>
        <v>14200000</v>
      </c>
      <c r="AN308" s="195"/>
    </row>
    <row r="309" spans="16:40">
      <c r="Q309" s="99" t="s">
        <v>4703</v>
      </c>
      <c r="R309" s="95">
        <v>9181756</v>
      </c>
      <c r="T309" s="213" t="s">
        <v>5238</v>
      </c>
      <c r="U309" s="213">
        <v>963</v>
      </c>
      <c r="V309" s="113">
        <v>477.92200000000003</v>
      </c>
      <c r="W309" s="113">
        <f t="shared" si="89"/>
        <v>460238.886</v>
      </c>
      <c r="X309" s="36" t="s">
        <v>452</v>
      </c>
      <c r="AH309" s="20">
        <v>64</v>
      </c>
      <c r="AI309" s="20" t="s">
        <v>4990</v>
      </c>
      <c r="AJ309" s="117">
        <v>25000</v>
      </c>
      <c r="AK309" s="20">
        <v>0</v>
      </c>
      <c r="AL309" s="20">
        <f t="shared" si="92"/>
        <v>282</v>
      </c>
      <c r="AM309" s="20">
        <f t="shared" si="93"/>
        <v>7050000</v>
      </c>
      <c r="AN309" s="20"/>
    </row>
    <row r="310" spans="16:40">
      <c r="Q310" s="99" t="s">
        <v>4707</v>
      </c>
      <c r="R310" s="95">
        <v>11811208</v>
      </c>
      <c r="T310" s="213" t="s">
        <v>5239</v>
      </c>
      <c r="U310" s="213">
        <v>2815</v>
      </c>
      <c r="V310" s="113">
        <v>461.79</v>
      </c>
      <c r="W310" s="113">
        <f t="shared" si="89"/>
        <v>1299938.8500000001</v>
      </c>
      <c r="X310" s="36" t="s">
        <v>452</v>
      </c>
      <c r="AH310" s="149">
        <v>65</v>
      </c>
      <c r="AI310" s="149" t="s">
        <v>4990</v>
      </c>
      <c r="AJ310" s="188">
        <v>35000</v>
      </c>
      <c r="AK310" s="149">
        <v>7</v>
      </c>
      <c r="AL310" s="149">
        <f t="shared" si="92"/>
        <v>282</v>
      </c>
      <c r="AM310" s="149">
        <f t="shared" si="93"/>
        <v>9870000</v>
      </c>
      <c r="AN310" s="149"/>
    </row>
    <row r="311" spans="16:40">
      <c r="Q311" s="99" t="s">
        <v>4721</v>
      </c>
      <c r="R311" s="95">
        <v>41248054</v>
      </c>
      <c r="T311" s="213" t="s">
        <v>5239</v>
      </c>
      <c r="U311" s="213">
        <v>1581</v>
      </c>
      <c r="V311" s="113">
        <v>461.79</v>
      </c>
      <c r="W311" s="113">
        <f t="shared" si="89"/>
        <v>730089.99</v>
      </c>
      <c r="X311" s="36" t="s">
        <v>452</v>
      </c>
      <c r="AH311" s="149">
        <v>66</v>
      </c>
      <c r="AI311" s="149" t="s">
        <v>5000</v>
      </c>
      <c r="AJ311" s="188">
        <v>30000000</v>
      </c>
      <c r="AK311" s="149">
        <v>0</v>
      </c>
      <c r="AL311" s="149">
        <f t="shared" ref="AL311:AL330" si="94">AK311+AL312</f>
        <v>275</v>
      </c>
      <c r="AM311" s="149">
        <f t="shared" ref="AM311:AM330" si="95">AJ311*AL311</f>
        <v>8250000000</v>
      </c>
      <c r="AN311" s="149"/>
    </row>
    <row r="312" spans="16:40">
      <c r="P312" t="s">
        <v>25</v>
      </c>
      <c r="Q312" s="99" t="s">
        <v>4728</v>
      </c>
      <c r="R312" s="95">
        <v>37328780</v>
      </c>
      <c r="T312" s="189" t="s">
        <v>5247</v>
      </c>
      <c r="U312" s="189">
        <v>1916</v>
      </c>
      <c r="V312" s="188">
        <v>521.70000000000005</v>
      </c>
      <c r="W312" s="188">
        <f t="shared" si="89"/>
        <v>999577.20000000007</v>
      </c>
      <c r="X312" s="284" t="s">
        <v>5355</v>
      </c>
      <c r="AH312" s="20">
        <v>67</v>
      </c>
      <c r="AI312" s="20" t="s">
        <v>5000</v>
      </c>
      <c r="AJ312" s="117">
        <v>6800000</v>
      </c>
      <c r="AK312" s="20">
        <v>1</v>
      </c>
      <c r="AL312" s="20">
        <f t="shared" si="94"/>
        <v>275</v>
      </c>
      <c r="AM312" s="20">
        <f t="shared" si="95"/>
        <v>1870000000</v>
      </c>
      <c r="AN312" s="20"/>
    </row>
    <row r="313" spans="16:40">
      <c r="Q313" s="99" t="s">
        <v>4734</v>
      </c>
      <c r="R313" s="95">
        <v>50000000</v>
      </c>
      <c r="T313" s="213" t="s">
        <v>989</v>
      </c>
      <c r="U313" s="213">
        <v>41</v>
      </c>
      <c r="V313" s="113">
        <v>514.48099999999999</v>
      </c>
      <c r="W313" s="113">
        <f t="shared" si="89"/>
        <v>21093.721000000001</v>
      </c>
      <c r="X313" s="36" t="s">
        <v>5224</v>
      </c>
      <c r="AH313" s="20">
        <v>68</v>
      </c>
      <c r="AI313" s="20" t="s">
        <v>5005</v>
      </c>
      <c r="AJ313" s="117">
        <v>500000</v>
      </c>
      <c r="AK313" s="20">
        <v>1</v>
      </c>
      <c r="AL313" s="20">
        <f t="shared" si="94"/>
        <v>274</v>
      </c>
      <c r="AM313" s="20">
        <f t="shared" si="95"/>
        <v>137000000</v>
      </c>
      <c r="AN313" s="20"/>
    </row>
    <row r="314" spans="16:40">
      <c r="Q314" s="99" t="s">
        <v>4796</v>
      </c>
      <c r="R314" s="95">
        <v>68656</v>
      </c>
      <c r="T314" s="213" t="s">
        <v>4271</v>
      </c>
      <c r="U314" s="213">
        <v>71</v>
      </c>
      <c r="V314" s="113">
        <v>482.57</v>
      </c>
      <c r="W314" s="113">
        <f t="shared" si="89"/>
        <v>34262.47</v>
      </c>
      <c r="X314" s="36" t="s">
        <v>5224</v>
      </c>
      <c r="AH314" s="20">
        <v>69</v>
      </c>
      <c r="AI314" s="20" t="s">
        <v>5012</v>
      </c>
      <c r="AJ314" s="117">
        <v>850000</v>
      </c>
      <c r="AK314" s="20">
        <v>5</v>
      </c>
      <c r="AL314" s="20">
        <f t="shared" si="94"/>
        <v>273</v>
      </c>
      <c r="AM314" s="20">
        <f t="shared" si="95"/>
        <v>232050000</v>
      </c>
      <c r="AN314" s="20"/>
    </row>
    <row r="315" spans="16:40">
      <c r="Q315" s="99" t="s">
        <v>4805</v>
      </c>
      <c r="R315" s="95">
        <v>4000236</v>
      </c>
      <c r="T315" s="213" t="s">
        <v>5262</v>
      </c>
      <c r="U315" s="213">
        <v>-250</v>
      </c>
      <c r="V315" s="113">
        <v>487.125</v>
      </c>
      <c r="W315" s="113">
        <f t="shared" si="89"/>
        <v>-121781.25</v>
      </c>
      <c r="X315" s="36" t="s">
        <v>4435</v>
      </c>
      <c r="AH315" s="20">
        <v>70</v>
      </c>
      <c r="AI315" s="20" t="s">
        <v>5022</v>
      </c>
      <c r="AJ315" s="117">
        <v>1130250</v>
      </c>
      <c r="AK315" s="20">
        <v>0</v>
      </c>
      <c r="AL315" s="20">
        <f t="shared" si="94"/>
        <v>268</v>
      </c>
      <c r="AM315" s="20">
        <f t="shared" si="95"/>
        <v>302907000</v>
      </c>
      <c r="AN315" s="20"/>
    </row>
    <row r="316" spans="16:40">
      <c r="Q316" s="99" t="s">
        <v>4805</v>
      </c>
      <c r="R316" s="95">
        <v>2250000</v>
      </c>
      <c r="T316" s="213" t="s">
        <v>5262</v>
      </c>
      <c r="U316" s="213">
        <v>250</v>
      </c>
      <c r="V316" s="113">
        <v>487.125</v>
      </c>
      <c r="W316" s="113">
        <f t="shared" si="89"/>
        <v>121781.25</v>
      </c>
      <c r="X316" s="36" t="s">
        <v>749</v>
      </c>
      <c r="AH316" s="259">
        <v>71</v>
      </c>
      <c r="AI316" s="259" t="s">
        <v>5022</v>
      </c>
      <c r="AJ316" s="250">
        <v>30000</v>
      </c>
      <c r="AK316" s="259">
        <v>5</v>
      </c>
      <c r="AL316" s="259">
        <f t="shared" si="94"/>
        <v>268</v>
      </c>
      <c r="AM316" s="259">
        <f t="shared" si="95"/>
        <v>8040000</v>
      </c>
      <c r="AN316" s="259"/>
    </row>
    <row r="317" spans="16:40">
      <c r="Q317" s="99" t="s">
        <v>4810</v>
      </c>
      <c r="R317" s="95">
        <v>-2512200</v>
      </c>
      <c r="T317" s="213" t="s">
        <v>5270</v>
      </c>
      <c r="U317" s="213">
        <v>-1439</v>
      </c>
      <c r="V317" s="113">
        <v>486.53068999999999</v>
      </c>
      <c r="W317" s="113">
        <f t="shared" si="89"/>
        <v>-700117.66290999996</v>
      </c>
      <c r="X317" s="36" t="s">
        <v>4435</v>
      </c>
      <c r="AH317" s="20">
        <v>72</v>
      </c>
      <c r="AI317" s="20" t="s">
        <v>5037</v>
      </c>
      <c r="AJ317" s="117">
        <v>206000</v>
      </c>
      <c r="AK317" s="20">
        <v>0</v>
      </c>
      <c r="AL317" s="20">
        <f t="shared" si="94"/>
        <v>263</v>
      </c>
      <c r="AM317" s="20">
        <f t="shared" si="95"/>
        <v>54178000</v>
      </c>
      <c r="AN317" s="20"/>
    </row>
    <row r="318" spans="16:40">
      <c r="Q318" s="99" t="s">
        <v>4819</v>
      </c>
      <c r="R318" s="95">
        <v>300000</v>
      </c>
      <c r="T318" s="213" t="s">
        <v>5270</v>
      </c>
      <c r="U318" s="213">
        <v>411</v>
      </c>
      <c r="V318" s="113">
        <v>486.53068999999999</v>
      </c>
      <c r="W318" s="113">
        <f t="shared" si="89"/>
        <v>199964.11358999999</v>
      </c>
      <c r="X318" s="36" t="s">
        <v>749</v>
      </c>
      <c r="Y318" t="s">
        <v>25</v>
      </c>
      <c r="AH318" s="149">
        <v>73</v>
      </c>
      <c r="AI318" s="149" t="s">
        <v>5037</v>
      </c>
      <c r="AJ318" s="188">
        <v>206000</v>
      </c>
      <c r="AK318" s="149">
        <v>2</v>
      </c>
      <c r="AL318" s="149">
        <f t="shared" si="94"/>
        <v>263</v>
      </c>
      <c r="AM318" s="149">
        <f t="shared" si="95"/>
        <v>54178000</v>
      </c>
      <c r="AN318" s="149"/>
    </row>
    <row r="319" spans="16:40">
      <c r="Q319" s="99" t="s">
        <v>978</v>
      </c>
      <c r="R319" s="95">
        <v>1100000</v>
      </c>
      <c r="S319" s="114"/>
      <c r="T319" s="213" t="s">
        <v>5237</v>
      </c>
      <c r="U319" s="213">
        <v>-4290</v>
      </c>
      <c r="V319" s="113">
        <v>497.57670000000002</v>
      </c>
      <c r="W319" s="113">
        <f t="shared" si="89"/>
        <v>-2134604.0430000001</v>
      </c>
      <c r="X319" s="36" t="s">
        <v>452</v>
      </c>
      <c r="AH319" s="20">
        <v>74</v>
      </c>
      <c r="AI319" s="20" t="s">
        <v>5044</v>
      </c>
      <c r="AJ319" s="117">
        <v>50000</v>
      </c>
      <c r="AK319" s="20">
        <v>0</v>
      </c>
      <c r="AL319" s="20">
        <f t="shared" si="94"/>
        <v>261</v>
      </c>
      <c r="AM319" s="20">
        <f t="shared" si="95"/>
        <v>13050000</v>
      </c>
      <c r="AN319" s="20"/>
    </row>
    <row r="320" spans="16:40">
      <c r="Q320" s="99" t="s">
        <v>4826</v>
      </c>
      <c r="R320" s="95">
        <v>890000</v>
      </c>
      <c r="T320" s="213" t="s">
        <v>5279</v>
      </c>
      <c r="U320" s="213">
        <v>-644</v>
      </c>
      <c r="V320" s="113">
        <v>494.76464499999997</v>
      </c>
      <c r="W320" s="113">
        <f t="shared" si="89"/>
        <v>-318628.43137999997</v>
      </c>
      <c r="X320" s="36" t="s">
        <v>452</v>
      </c>
      <c r="AH320" s="259">
        <v>75</v>
      </c>
      <c r="AI320" s="259" t="s">
        <v>5044</v>
      </c>
      <c r="AJ320" s="250">
        <v>50000</v>
      </c>
      <c r="AK320" s="259">
        <v>2</v>
      </c>
      <c r="AL320" s="259">
        <f t="shared" si="94"/>
        <v>261</v>
      </c>
      <c r="AM320" s="259">
        <f t="shared" si="95"/>
        <v>13050000</v>
      </c>
      <c r="AN320" s="259"/>
    </row>
    <row r="321" spans="16:44">
      <c r="Q321" s="99" t="s">
        <v>4846</v>
      </c>
      <c r="R321" s="95">
        <v>1000000</v>
      </c>
      <c r="T321" s="213" t="s">
        <v>5282</v>
      </c>
      <c r="U321" s="213">
        <v>-112</v>
      </c>
      <c r="V321" s="113">
        <v>485.78</v>
      </c>
      <c r="W321" s="113">
        <f t="shared" si="89"/>
        <v>-54407.360000000001</v>
      </c>
      <c r="X321" s="36" t="s">
        <v>452</v>
      </c>
      <c r="AH321" s="20">
        <v>76</v>
      </c>
      <c r="AI321" s="20" t="s">
        <v>5049</v>
      </c>
      <c r="AJ321" s="117">
        <v>20000000</v>
      </c>
      <c r="AK321" s="20">
        <v>7</v>
      </c>
      <c r="AL321" s="20">
        <f t="shared" si="94"/>
        <v>259</v>
      </c>
      <c r="AM321" s="20">
        <f t="shared" si="95"/>
        <v>5180000000</v>
      </c>
      <c r="AN321" s="20" t="s">
        <v>5050</v>
      </c>
    </row>
    <row r="322" spans="16:44">
      <c r="P322" t="s">
        <v>25</v>
      </c>
      <c r="Q322" s="99" t="s">
        <v>4847</v>
      </c>
      <c r="R322" s="95">
        <v>45436311</v>
      </c>
      <c r="T322" s="213" t="s">
        <v>5282</v>
      </c>
      <c r="U322" s="213">
        <v>123</v>
      </c>
      <c r="V322" s="113">
        <v>485.78</v>
      </c>
      <c r="W322" s="113">
        <f t="shared" si="89"/>
        <v>59750.939999999995</v>
      </c>
      <c r="X322" s="36" t="s">
        <v>749</v>
      </c>
      <c r="AH322" s="20">
        <v>77</v>
      </c>
      <c r="AI322" s="20" t="s">
        <v>5061</v>
      </c>
      <c r="AJ322" s="117">
        <v>50000</v>
      </c>
      <c r="AK322" s="20">
        <v>0</v>
      </c>
      <c r="AL322" s="20">
        <f t="shared" si="94"/>
        <v>252</v>
      </c>
      <c r="AM322" s="20">
        <f t="shared" si="95"/>
        <v>12600000</v>
      </c>
      <c r="AN322" s="20"/>
    </row>
    <row r="323" spans="16:44">
      <c r="P323" t="s">
        <v>25</v>
      </c>
      <c r="Q323" s="99" t="s">
        <v>4847</v>
      </c>
      <c r="R323" s="95">
        <v>-3500000</v>
      </c>
      <c r="T323" s="213" t="s">
        <v>5282</v>
      </c>
      <c r="U323" s="213">
        <v>-123</v>
      </c>
      <c r="V323" s="113">
        <v>485.78</v>
      </c>
      <c r="W323" s="113">
        <f t="shared" si="89"/>
        <v>-59750.939999999995</v>
      </c>
      <c r="X323" s="36" t="s">
        <v>4435</v>
      </c>
      <c r="AH323" s="149">
        <v>78</v>
      </c>
      <c r="AI323" s="149" t="s">
        <v>5061</v>
      </c>
      <c r="AJ323" s="188">
        <v>50000</v>
      </c>
      <c r="AK323" s="149">
        <v>7</v>
      </c>
      <c r="AL323" s="149">
        <f t="shared" si="94"/>
        <v>252</v>
      </c>
      <c r="AM323" s="149">
        <f t="shared" si="95"/>
        <v>12600000</v>
      </c>
      <c r="AN323" s="149"/>
    </row>
    <row r="324" spans="16:44">
      <c r="Q324" s="99" t="s">
        <v>4860</v>
      </c>
      <c r="R324" s="95">
        <v>2520000</v>
      </c>
      <c r="T324" s="213" t="s">
        <v>5328</v>
      </c>
      <c r="U324" s="213">
        <v>32367</v>
      </c>
      <c r="V324" s="113">
        <v>556.12900000000002</v>
      </c>
      <c r="W324" s="113">
        <f t="shared" si="89"/>
        <v>18000227.343000002</v>
      </c>
      <c r="X324" s="36" t="s">
        <v>452</v>
      </c>
      <c r="Y324" t="s">
        <v>25</v>
      </c>
      <c r="AH324" s="20">
        <v>79</v>
      </c>
      <c r="AI324" s="20" t="s">
        <v>5067</v>
      </c>
      <c r="AJ324" s="117">
        <v>2480000</v>
      </c>
      <c r="AK324" s="20">
        <v>0</v>
      </c>
      <c r="AL324" s="20">
        <f t="shared" si="94"/>
        <v>245</v>
      </c>
      <c r="AM324" s="20">
        <f t="shared" si="95"/>
        <v>607600000</v>
      </c>
      <c r="AN324" s="20"/>
    </row>
    <row r="325" spans="16:44">
      <c r="Q325" s="99" t="s">
        <v>4895</v>
      </c>
      <c r="R325" s="95">
        <v>4900000</v>
      </c>
      <c r="T325" s="213" t="s">
        <v>5344</v>
      </c>
      <c r="U325" s="213">
        <v>1254</v>
      </c>
      <c r="V325" s="113">
        <v>558.24400000000003</v>
      </c>
      <c r="W325" s="113">
        <f t="shared" si="89"/>
        <v>700037.97600000002</v>
      </c>
      <c r="X325" s="36" t="s">
        <v>4435</v>
      </c>
      <c r="AH325" s="149">
        <v>80</v>
      </c>
      <c r="AI325" s="149" t="s">
        <v>5067</v>
      </c>
      <c r="AJ325" s="188">
        <v>2480000</v>
      </c>
      <c r="AK325" s="149">
        <v>12</v>
      </c>
      <c r="AL325" s="149">
        <f t="shared" si="94"/>
        <v>245</v>
      </c>
      <c r="AM325" s="149">
        <f t="shared" si="95"/>
        <v>607600000</v>
      </c>
      <c r="AN325" s="149"/>
    </row>
    <row r="326" spans="16:44">
      <c r="Q326" s="99" t="s">
        <v>4915</v>
      </c>
      <c r="R326" s="95">
        <v>1150000</v>
      </c>
      <c r="T326" s="168" t="s">
        <v>5344</v>
      </c>
      <c r="U326" s="213">
        <v>-358</v>
      </c>
      <c r="V326" s="113">
        <v>558.24400000000003</v>
      </c>
      <c r="W326" s="113">
        <f t="shared" si="89"/>
        <v>-199851.35200000001</v>
      </c>
      <c r="X326" s="36" t="s">
        <v>749</v>
      </c>
      <c r="AH326" s="20">
        <v>81</v>
      </c>
      <c r="AI326" s="20" t="s">
        <v>5074</v>
      </c>
      <c r="AJ326" s="117">
        <v>-24159500</v>
      </c>
      <c r="AK326" s="20">
        <v>4</v>
      </c>
      <c r="AL326" s="20">
        <f t="shared" si="94"/>
        <v>233</v>
      </c>
      <c r="AM326" s="20">
        <f t="shared" si="95"/>
        <v>-5629163500</v>
      </c>
      <c r="AN326" s="20" t="s">
        <v>5083</v>
      </c>
    </row>
    <row r="327" spans="16:44">
      <c r="Q327" s="99" t="s">
        <v>4867</v>
      </c>
      <c r="R327" s="95">
        <v>250000</v>
      </c>
      <c r="T327" s="189" t="s">
        <v>5353</v>
      </c>
      <c r="U327" s="189">
        <v>-3326</v>
      </c>
      <c r="V327" s="188">
        <v>601.39300000000003</v>
      </c>
      <c r="W327" s="188">
        <f t="shared" si="89"/>
        <v>-2000233.118</v>
      </c>
      <c r="X327" s="284" t="s">
        <v>5190</v>
      </c>
      <c r="AH327" s="20">
        <v>82</v>
      </c>
      <c r="AI327" s="20" t="s">
        <v>5085</v>
      </c>
      <c r="AJ327" s="117">
        <v>400000</v>
      </c>
      <c r="AK327" s="20">
        <v>3</v>
      </c>
      <c r="AL327" s="20">
        <f t="shared" si="94"/>
        <v>229</v>
      </c>
      <c r="AM327" s="20">
        <f t="shared" si="95"/>
        <v>91600000</v>
      </c>
      <c r="AN327" s="20"/>
    </row>
    <row r="328" spans="16:44">
      <c r="Q328" s="99" t="s">
        <v>4956</v>
      </c>
      <c r="R328" s="95">
        <v>1403460</v>
      </c>
      <c r="T328" s="189" t="s">
        <v>5356</v>
      </c>
      <c r="U328" s="189">
        <v>3326</v>
      </c>
      <c r="V328" s="188">
        <v>601.39300000000003</v>
      </c>
      <c r="W328" s="188">
        <f t="shared" si="89"/>
        <v>2000233.118</v>
      </c>
      <c r="X328" s="284" t="s">
        <v>5190</v>
      </c>
      <c r="AH328" s="149">
        <v>83</v>
      </c>
      <c r="AI328" s="149" t="s">
        <v>5092</v>
      </c>
      <c r="AJ328" s="188">
        <v>40000</v>
      </c>
      <c r="AK328" s="149">
        <v>0</v>
      </c>
      <c r="AL328" s="149">
        <f t="shared" si="94"/>
        <v>226</v>
      </c>
      <c r="AM328" s="149">
        <f t="shared" si="95"/>
        <v>9040000</v>
      </c>
      <c r="AN328" s="149"/>
    </row>
    <row r="329" spans="16:44">
      <c r="Q329" s="99" t="s">
        <v>4961</v>
      </c>
      <c r="R329" s="95">
        <v>200000</v>
      </c>
      <c r="T329" s="189" t="s">
        <v>5369</v>
      </c>
      <c r="U329" s="189">
        <v>63259</v>
      </c>
      <c r="V329" s="188">
        <v>632.31960000000004</v>
      </c>
      <c r="W329" s="188">
        <f t="shared" si="89"/>
        <v>39999905.576400004</v>
      </c>
      <c r="X329" s="284" t="s">
        <v>1083</v>
      </c>
      <c r="AH329" s="20">
        <v>84</v>
      </c>
      <c r="AI329" s="20" t="s">
        <v>5092</v>
      </c>
      <c r="AJ329" s="117">
        <v>40000</v>
      </c>
      <c r="AK329" s="20">
        <v>5</v>
      </c>
      <c r="AL329" s="20">
        <f t="shared" si="94"/>
        <v>226</v>
      </c>
      <c r="AM329" s="20">
        <f t="shared" si="95"/>
        <v>9040000</v>
      </c>
      <c r="AN329" s="20"/>
    </row>
    <row r="330" spans="16:44">
      <c r="Q330" s="99" t="s">
        <v>4967</v>
      </c>
      <c r="R330" s="95">
        <v>345000</v>
      </c>
      <c r="T330" s="19" t="s">
        <v>5374</v>
      </c>
      <c r="U330" s="19">
        <v>-1278</v>
      </c>
      <c r="V330" s="117">
        <v>625.98</v>
      </c>
      <c r="W330" s="117">
        <f t="shared" si="89"/>
        <v>-800002.44000000006</v>
      </c>
      <c r="X330" s="285" t="s">
        <v>5375</v>
      </c>
      <c r="AH330" s="20">
        <v>85</v>
      </c>
      <c r="AI330" s="20" t="s">
        <v>5104</v>
      </c>
      <c r="AJ330" s="117">
        <v>200000</v>
      </c>
      <c r="AK330" s="20">
        <v>1</v>
      </c>
      <c r="AL330" s="20">
        <f t="shared" si="94"/>
        <v>221</v>
      </c>
      <c r="AM330" s="20">
        <f t="shared" si="95"/>
        <v>44200000</v>
      </c>
      <c r="AN330" s="20"/>
    </row>
    <row r="331" spans="16:44">
      <c r="Q331" s="99" t="s">
        <v>4972</v>
      </c>
      <c r="R331" s="95">
        <v>900000</v>
      </c>
      <c r="T331" s="19" t="s">
        <v>5381</v>
      </c>
      <c r="U331" s="19">
        <v>32049</v>
      </c>
      <c r="V331" s="117">
        <v>624.04600000000005</v>
      </c>
      <c r="W331" s="117">
        <f t="shared" si="89"/>
        <v>20000050.254000001</v>
      </c>
      <c r="X331" s="285" t="s">
        <v>5229</v>
      </c>
      <c r="AH331" s="20">
        <v>86</v>
      </c>
      <c r="AI331" s="20" t="s">
        <v>5108</v>
      </c>
      <c r="AJ331" s="117">
        <v>500000</v>
      </c>
      <c r="AK331" s="20">
        <v>2</v>
      </c>
      <c r="AL331" s="20">
        <f t="shared" ref="AL331:AL392" si="96">AK331+AL332</f>
        <v>220</v>
      </c>
      <c r="AM331" s="20">
        <f t="shared" ref="AM331:AM392" si="97">AJ331*AL331</f>
        <v>110000000</v>
      </c>
      <c r="AN331" s="20"/>
    </row>
    <row r="332" spans="16:44" ht="30">
      <c r="Q332" s="99" t="s">
        <v>4976</v>
      </c>
      <c r="R332" s="95">
        <v>372517</v>
      </c>
      <c r="T332" s="19" t="s">
        <v>5392</v>
      </c>
      <c r="U332" s="19">
        <v>45094</v>
      </c>
      <c r="V332" s="117">
        <v>614.13559759999998</v>
      </c>
      <c r="W332" s="117">
        <f t="shared" si="89"/>
        <v>27693830.6381744</v>
      </c>
      <c r="X332" s="285" t="s">
        <v>5394</v>
      </c>
      <c r="Z332" t="s">
        <v>25</v>
      </c>
      <c r="AH332" s="20">
        <v>87</v>
      </c>
      <c r="AI332" s="20" t="s">
        <v>5110</v>
      </c>
      <c r="AJ332" s="117">
        <v>500000</v>
      </c>
      <c r="AK332" s="20">
        <v>3</v>
      </c>
      <c r="AL332" s="20">
        <f t="shared" si="96"/>
        <v>218</v>
      </c>
      <c r="AM332" s="20">
        <f t="shared" si="97"/>
        <v>109000000</v>
      </c>
      <c r="AN332" s="20"/>
      <c r="AR332" t="s">
        <v>25</v>
      </c>
    </row>
    <row r="333" spans="16:44" ht="30">
      <c r="Q333" s="99" t="s">
        <v>4987</v>
      </c>
      <c r="R333" s="95">
        <v>6489257</v>
      </c>
      <c r="T333" s="19" t="s">
        <v>5426</v>
      </c>
      <c r="U333" s="19">
        <v>-11804</v>
      </c>
      <c r="V333" s="117">
        <v>762.46640000000002</v>
      </c>
      <c r="W333" s="117">
        <f t="shared" si="89"/>
        <v>-9000153.3856000006</v>
      </c>
      <c r="X333" s="285" t="s">
        <v>5428</v>
      </c>
      <c r="AH333" s="20">
        <v>88</v>
      </c>
      <c r="AI333" s="20" t="s">
        <v>5097</v>
      </c>
      <c r="AJ333" s="117">
        <v>250000</v>
      </c>
      <c r="AK333" s="20">
        <v>0</v>
      </c>
      <c r="AL333" s="20">
        <f t="shared" si="96"/>
        <v>215</v>
      </c>
      <c r="AM333" s="20">
        <f t="shared" si="97"/>
        <v>53750000</v>
      </c>
      <c r="AN333" s="20"/>
    </row>
    <row r="334" spans="16:44">
      <c r="Q334" s="99" t="s">
        <v>5037</v>
      </c>
      <c r="R334" s="95">
        <v>618000</v>
      </c>
      <c r="T334" s="19" t="s">
        <v>5485</v>
      </c>
      <c r="U334" s="19">
        <v>8662</v>
      </c>
      <c r="V334" s="117">
        <v>832.57011999999997</v>
      </c>
      <c r="W334" s="117">
        <f t="shared" si="89"/>
        <v>7211722.3794399993</v>
      </c>
      <c r="X334" s="285" t="s">
        <v>5224</v>
      </c>
      <c r="AH334" s="259">
        <v>89</v>
      </c>
      <c r="AI334" s="259" t="s">
        <v>5097</v>
      </c>
      <c r="AJ334" s="250">
        <v>245000</v>
      </c>
      <c r="AK334" s="259">
        <v>16</v>
      </c>
      <c r="AL334" s="259">
        <f t="shared" si="96"/>
        <v>215</v>
      </c>
      <c r="AM334" s="259">
        <f t="shared" si="97"/>
        <v>52675000</v>
      </c>
      <c r="AN334" s="259"/>
    </row>
    <row r="335" spans="16:44" ht="30">
      <c r="Q335" s="99" t="s">
        <v>5049</v>
      </c>
      <c r="R335" s="95">
        <v>20105000</v>
      </c>
      <c r="T335" s="19" t="s">
        <v>5486</v>
      </c>
      <c r="U335" s="19">
        <v>10253</v>
      </c>
      <c r="V335" s="117">
        <v>827.2568</v>
      </c>
      <c r="W335" s="117">
        <f t="shared" si="89"/>
        <v>8481863.9704</v>
      </c>
      <c r="X335" s="285" t="s">
        <v>5497</v>
      </c>
      <c r="AH335" s="20">
        <v>90</v>
      </c>
      <c r="AI335" s="20" t="s">
        <v>5136</v>
      </c>
      <c r="AJ335" s="117">
        <v>312598</v>
      </c>
      <c r="AK335" s="20">
        <v>0</v>
      </c>
      <c r="AL335" s="20">
        <f t="shared" si="96"/>
        <v>199</v>
      </c>
      <c r="AM335" s="20">
        <f t="shared" si="97"/>
        <v>62207002</v>
      </c>
      <c r="AN335" s="20"/>
    </row>
    <row r="336" spans="16:44">
      <c r="Q336" s="99" t="s">
        <v>5054</v>
      </c>
      <c r="R336" s="95">
        <v>-21079990</v>
      </c>
      <c r="T336" s="249" t="s">
        <v>5498</v>
      </c>
      <c r="U336" s="249">
        <v>-33077</v>
      </c>
      <c r="V336" s="250">
        <v>786.02973999999995</v>
      </c>
      <c r="W336" s="250">
        <f t="shared" si="89"/>
        <v>-25999505.70998</v>
      </c>
      <c r="X336" s="294" t="s">
        <v>5502</v>
      </c>
      <c r="AA336" t="s">
        <v>25</v>
      </c>
      <c r="AH336" s="20">
        <v>91</v>
      </c>
      <c r="AI336" s="20" t="s">
        <v>5136</v>
      </c>
      <c r="AJ336" s="117">
        <v>780000</v>
      </c>
      <c r="AK336" s="20">
        <v>0</v>
      </c>
      <c r="AL336" s="20">
        <f t="shared" si="96"/>
        <v>199</v>
      </c>
      <c r="AM336" s="20">
        <f t="shared" si="97"/>
        <v>155220000</v>
      </c>
      <c r="AN336" s="20"/>
      <c r="AR336" t="s">
        <v>25</v>
      </c>
    </row>
    <row r="337" spans="17:46">
      <c r="Q337" s="99" t="s">
        <v>5055</v>
      </c>
      <c r="R337" s="95">
        <v>-5949277</v>
      </c>
      <c r="T337" s="19" t="s">
        <v>5498</v>
      </c>
      <c r="U337" s="19">
        <v>-33077</v>
      </c>
      <c r="V337" s="117">
        <v>786.02973999999995</v>
      </c>
      <c r="W337" s="117">
        <f t="shared" si="89"/>
        <v>-25999505.70998</v>
      </c>
      <c r="X337" s="285" t="s">
        <v>5503</v>
      </c>
      <c r="AH337" s="195">
        <v>92</v>
      </c>
      <c r="AI337" s="195" t="s">
        <v>5136</v>
      </c>
      <c r="AJ337" s="196">
        <v>-300000</v>
      </c>
      <c r="AK337" s="195">
        <v>1</v>
      </c>
      <c r="AL337" s="195">
        <f t="shared" si="96"/>
        <v>199</v>
      </c>
      <c r="AM337" s="195">
        <f t="shared" si="97"/>
        <v>-59700000</v>
      </c>
      <c r="AN337" s="195"/>
      <c r="AS337" t="s">
        <v>25</v>
      </c>
    </row>
    <row r="338" spans="17:46">
      <c r="Q338" s="99" t="s">
        <v>5061</v>
      </c>
      <c r="R338" s="95">
        <v>-15370656</v>
      </c>
      <c r="T338" s="19" t="s">
        <v>5498</v>
      </c>
      <c r="U338" s="19">
        <v>1983</v>
      </c>
      <c r="V338" s="117">
        <v>786.02973999999995</v>
      </c>
      <c r="W338" s="117">
        <f t="shared" si="89"/>
        <v>1558696.9744199999</v>
      </c>
      <c r="X338" s="285" t="s">
        <v>5224</v>
      </c>
      <c r="AH338" s="20">
        <v>93</v>
      </c>
      <c r="AI338" s="20" t="s">
        <v>5098</v>
      </c>
      <c r="AJ338" s="117">
        <v>300000</v>
      </c>
      <c r="AK338" s="20">
        <v>0</v>
      </c>
      <c r="AL338" s="20">
        <f t="shared" si="96"/>
        <v>198</v>
      </c>
      <c r="AM338" s="20">
        <f t="shared" si="97"/>
        <v>59400000</v>
      </c>
      <c r="AN338" s="20"/>
      <c r="AR338" t="s">
        <v>25</v>
      </c>
      <c r="AT338" s="96" t="s">
        <v>25</v>
      </c>
    </row>
    <row r="339" spans="17:46">
      <c r="Q339" s="99" t="s">
        <v>5067</v>
      </c>
      <c r="R339" s="95">
        <v>4960000</v>
      </c>
      <c r="T339" s="249" t="s">
        <v>5504</v>
      </c>
      <c r="U339" s="249">
        <v>-119753</v>
      </c>
      <c r="V339" s="250">
        <v>800.81560000000002</v>
      </c>
      <c r="W339" s="250">
        <f t="shared" si="89"/>
        <v>-95900070.546800002</v>
      </c>
      <c r="X339" s="294" t="s">
        <v>5502</v>
      </c>
      <c r="Z339" t="s">
        <v>25</v>
      </c>
      <c r="AH339" s="20">
        <v>94</v>
      </c>
      <c r="AI339" s="20" t="s">
        <v>5098</v>
      </c>
      <c r="AJ339" s="117">
        <v>8660000</v>
      </c>
      <c r="AK339" s="20">
        <v>8</v>
      </c>
      <c r="AL339" s="20">
        <f t="shared" si="96"/>
        <v>198</v>
      </c>
      <c r="AM339" s="20">
        <f t="shared" si="97"/>
        <v>1714680000</v>
      </c>
      <c r="AN339" s="20"/>
      <c r="AS339" t="s">
        <v>25</v>
      </c>
    </row>
    <row r="340" spans="17:46">
      <c r="Q340" s="99" t="s">
        <v>5067</v>
      </c>
      <c r="R340" s="95">
        <v>10000000</v>
      </c>
      <c r="T340" s="19" t="s">
        <v>5504</v>
      </c>
      <c r="U340" s="19">
        <v>-119753</v>
      </c>
      <c r="V340" s="117">
        <v>800.81560000000002</v>
      </c>
      <c r="W340" s="117">
        <f t="shared" si="89"/>
        <v>-95900070.546800002</v>
      </c>
      <c r="X340" s="285" t="s">
        <v>5503</v>
      </c>
      <c r="AH340" s="149">
        <v>95</v>
      </c>
      <c r="AI340" s="149" t="s">
        <v>5153</v>
      </c>
      <c r="AJ340" s="188">
        <v>200000</v>
      </c>
      <c r="AK340" s="149">
        <v>3</v>
      </c>
      <c r="AL340" s="149">
        <f t="shared" si="96"/>
        <v>190</v>
      </c>
      <c r="AM340" s="149">
        <f t="shared" si="97"/>
        <v>38000000</v>
      </c>
      <c r="AN340" s="149"/>
    </row>
    <row r="341" spans="17:46">
      <c r="Q341" s="99" t="s">
        <v>5074</v>
      </c>
      <c r="R341" s="95">
        <v>-40570100</v>
      </c>
      <c r="T341" s="19" t="s">
        <v>5504</v>
      </c>
      <c r="U341" s="19">
        <v>11291</v>
      </c>
      <c r="V341" s="117">
        <v>800.81560000000002</v>
      </c>
      <c r="W341" s="117">
        <f t="shared" si="89"/>
        <v>9042008.9396000002</v>
      </c>
      <c r="X341" s="285" t="s">
        <v>452</v>
      </c>
      <c r="AH341" s="149">
        <v>96</v>
      </c>
      <c r="AI341" s="149" t="s">
        <v>5156</v>
      </c>
      <c r="AJ341" s="188">
        <v>20000</v>
      </c>
      <c r="AK341" s="149">
        <v>1</v>
      </c>
      <c r="AL341" s="149">
        <f t="shared" si="96"/>
        <v>187</v>
      </c>
      <c r="AM341" s="149">
        <f t="shared" si="97"/>
        <v>3740000</v>
      </c>
      <c r="AN341" s="149"/>
    </row>
    <row r="342" spans="17:46">
      <c r="Q342" s="99" t="s">
        <v>5084</v>
      </c>
      <c r="R342" s="95">
        <v>1000000</v>
      </c>
      <c r="T342" s="189" t="s">
        <v>5505</v>
      </c>
      <c r="U342" s="189">
        <v>-35361</v>
      </c>
      <c r="V342" s="188">
        <v>818.697</v>
      </c>
      <c r="W342" s="188">
        <f t="shared" si="89"/>
        <v>-28949944.616999999</v>
      </c>
      <c r="X342" s="284" t="s">
        <v>5502</v>
      </c>
      <c r="AH342" s="20">
        <v>97</v>
      </c>
      <c r="AI342" s="20" t="s">
        <v>5166</v>
      </c>
      <c r="AJ342" s="117">
        <v>14340000</v>
      </c>
      <c r="AK342" s="20">
        <v>7</v>
      </c>
      <c r="AL342" s="20">
        <f t="shared" si="96"/>
        <v>186</v>
      </c>
      <c r="AM342" s="20">
        <f t="shared" si="97"/>
        <v>2667240000</v>
      </c>
      <c r="AN342" s="20"/>
    </row>
    <row r="343" spans="17:46">
      <c r="Q343" s="99" t="s">
        <v>5085</v>
      </c>
      <c r="R343" s="95">
        <v>400000</v>
      </c>
      <c r="T343" s="19" t="s">
        <v>5505</v>
      </c>
      <c r="U343" s="19">
        <v>-35361</v>
      </c>
      <c r="V343" s="117">
        <v>818.697</v>
      </c>
      <c r="W343" s="117">
        <f t="shared" si="89"/>
        <v>-28949944.616999999</v>
      </c>
      <c r="X343" s="285" t="s">
        <v>5503</v>
      </c>
      <c r="AH343" s="20">
        <v>98</v>
      </c>
      <c r="AI343" s="20" t="s">
        <v>5174</v>
      </c>
      <c r="AJ343" s="117">
        <v>10000000</v>
      </c>
      <c r="AK343" s="20">
        <v>6</v>
      </c>
      <c r="AL343" s="20">
        <f t="shared" si="96"/>
        <v>179</v>
      </c>
      <c r="AM343" s="20">
        <f t="shared" si="97"/>
        <v>1790000000</v>
      </c>
      <c r="AN343" s="20" t="s">
        <v>4736</v>
      </c>
    </row>
    <row r="344" spans="17:46">
      <c r="Q344" s="99" t="s">
        <v>5092</v>
      </c>
      <c r="R344" s="95">
        <v>120000</v>
      </c>
      <c r="T344" s="19" t="s">
        <v>5505</v>
      </c>
      <c r="U344" s="19">
        <v>116</v>
      </c>
      <c r="V344" s="117">
        <v>818.697</v>
      </c>
      <c r="W344" s="117">
        <f t="shared" si="89"/>
        <v>94968.851999999999</v>
      </c>
      <c r="X344" s="285" t="s">
        <v>5224</v>
      </c>
      <c r="AH344" s="20">
        <v>99</v>
      </c>
      <c r="AI344" s="20" t="s">
        <v>5180</v>
      </c>
      <c r="AJ344" s="117">
        <v>4033949</v>
      </c>
      <c r="AK344" s="20">
        <v>2</v>
      </c>
      <c r="AL344" s="20">
        <f t="shared" si="96"/>
        <v>173</v>
      </c>
      <c r="AM344" s="20">
        <f t="shared" si="97"/>
        <v>697873177</v>
      </c>
      <c r="AN344" s="20" t="s">
        <v>5182</v>
      </c>
    </row>
    <row r="345" spans="17:46">
      <c r="Q345" s="99" t="s">
        <v>5110</v>
      </c>
      <c r="R345" s="95">
        <v>500000</v>
      </c>
      <c r="T345" s="19" t="s">
        <v>5514</v>
      </c>
      <c r="U345" s="19">
        <v>48633</v>
      </c>
      <c r="V345" s="117">
        <v>822.47199999999998</v>
      </c>
      <c r="W345" s="117">
        <f t="shared" si="89"/>
        <v>39999280.776000001</v>
      </c>
      <c r="X345" s="285" t="s">
        <v>5521</v>
      </c>
      <c r="AH345" s="149">
        <v>100</v>
      </c>
      <c r="AI345" s="149" t="s">
        <v>5186</v>
      </c>
      <c r="AJ345" s="188">
        <v>11500000</v>
      </c>
      <c r="AK345" s="149">
        <v>2</v>
      </c>
      <c r="AL345" s="149">
        <f t="shared" si="96"/>
        <v>171</v>
      </c>
      <c r="AM345" s="149">
        <f t="shared" si="97"/>
        <v>1966500000</v>
      </c>
      <c r="AN345" s="149" t="s">
        <v>5188</v>
      </c>
    </row>
    <row r="346" spans="17:46">
      <c r="Q346" s="99" t="s">
        <v>5097</v>
      </c>
      <c r="R346" s="95">
        <v>744000</v>
      </c>
      <c r="S346" s="114"/>
      <c r="T346" s="19" t="s">
        <v>5514</v>
      </c>
      <c r="U346" s="19">
        <v>3412</v>
      </c>
      <c r="V346" s="117">
        <v>822.47199999999998</v>
      </c>
      <c r="W346" s="117">
        <f t="shared" si="89"/>
        <v>2806274.4640000002</v>
      </c>
      <c r="X346" s="285" t="s">
        <v>5524</v>
      </c>
      <c r="AA346" t="s">
        <v>25</v>
      </c>
      <c r="AH346" s="149">
        <v>101</v>
      </c>
      <c r="AI346" s="149" t="s">
        <v>5192</v>
      </c>
      <c r="AJ346" s="188">
        <v>250000</v>
      </c>
      <c r="AK346" s="149">
        <v>3</v>
      </c>
      <c r="AL346" s="149">
        <f t="shared" si="96"/>
        <v>169</v>
      </c>
      <c r="AM346" s="149">
        <f t="shared" si="97"/>
        <v>42250000</v>
      </c>
      <c r="AN346" s="149"/>
    </row>
    <row r="347" spans="17:46">
      <c r="Q347" s="99" t="s">
        <v>5126</v>
      </c>
      <c r="R347" s="95">
        <v>65000</v>
      </c>
      <c r="T347" s="19" t="s">
        <v>5515</v>
      </c>
      <c r="U347" s="19">
        <v>1531</v>
      </c>
      <c r="V347" s="117">
        <v>869.82500000000005</v>
      </c>
      <c r="W347" s="117">
        <f t="shared" si="89"/>
        <v>1331702.075</v>
      </c>
      <c r="X347" s="285" t="s">
        <v>5534</v>
      </c>
      <c r="Y347" t="s">
        <v>25</v>
      </c>
      <c r="AH347" s="149">
        <v>102</v>
      </c>
      <c r="AI347" s="149" t="s">
        <v>5217</v>
      </c>
      <c r="AJ347" s="188">
        <v>6000000</v>
      </c>
      <c r="AK347" s="149">
        <v>1</v>
      </c>
      <c r="AL347" s="149">
        <f t="shared" si="96"/>
        <v>166</v>
      </c>
      <c r="AM347" s="149">
        <f t="shared" si="97"/>
        <v>996000000</v>
      </c>
      <c r="AN347" s="149" t="s">
        <v>5188</v>
      </c>
    </row>
    <row r="348" spans="17:46">
      <c r="Q348" s="99" t="s">
        <v>5132</v>
      </c>
      <c r="R348" s="95">
        <v>-14053702</v>
      </c>
      <c r="T348" s="172" t="s">
        <v>5539</v>
      </c>
      <c r="U348" s="172">
        <v>2394</v>
      </c>
      <c r="V348" s="170">
        <v>835.36580000000004</v>
      </c>
      <c r="W348" s="170">
        <f t="shared" si="89"/>
        <v>1999865.7252</v>
      </c>
      <c r="X348" s="295" t="s">
        <v>5546</v>
      </c>
      <c r="AH348" s="149">
        <v>103</v>
      </c>
      <c r="AI348" s="149" t="s">
        <v>5219</v>
      </c>
      <c r="AJ348" s="188">
        <v>1500000</v>
      </c>
      <c r="AK348" s="149">
        <v>6</v>
      </c>
      <c r="AL348" s="149">
        <f t="shared" si="96"/>
        <v>165</v>
      </c>
      <c r="AM348" s="149">
        <f t="shared" si="97"/>
        <v>247500000</v>
      </c>
      <c r="AN348" s="149" t="s">
        <v>5188</v>
      </c>
    </row>
    <row r="349" spans="17:46">
      <c r="Q349" s="99" t="s">
        <v>5098</v>
      </c>
      <c r="R349" s="95">
        <v>3555678</v>
      </c>
      <c r="T349" s="19" t="s">
        <v>5539</v>
      </c>
      <c r="U349" s="19">
        <v>1019</v>
      </c>
      <c r="V349" s="117">
        <v>835.36580000000004</v>
      </c>
      <c r="W349" s="117">
        <f t="shared" si="89"/>
        <v>851237.75020000001</v>
      </c>
      <c r="X349" s="285" t="s">
        <v>452</v>
      </c>
      <c r="AH349" s="20">
        <v>104</v>
      </c>
      <c r="AI349" s="20" t="s">
        <v>972</v>
      </c>
      <c r="AJ349" s="117">
        <v>-3960043</v>
      </c>
      <c r="AK349" s="20">
        <v>2</v>
      </c>
      <c r="AL349" s="20">
        <f t="shared" si="96"/>
        <v>159</v>
      </c>
      <c r="AM349" s="20">
        <f t="shared" si="97"/>
        <v>-629646837</v>
      </c>
      <c r="AN349" s="20"/>
    </row>
    <row r="350" spans="17:46">
      <c r="Q350" s="99" t="s">
        <v>5168</v>
      </c>
      <c r="R350" s="95">
        <v>3495</v>
      </c>
      <c r="T350" s="189" t="s">
        <v>5551</v>
      </c>
      <c r="U350" s="189">
        <v>2316</v>
      </c>
      <c r="V350" s="188">
        <v>818.697</v>
      </c>
      <c r="W350" s="188">
        <f t="shared" si="89"/>
        <v>1896102.2520000001</v>
      </c>
      <c r="X350" s="284" t="s">
        <v>5558</v>
      </c>
      <c r="AH350" s="20">
        <v>105</v>
      </c>
      <c r="AI350" s="20" t="s">
        <v>5238</v>
      </c>
      <c r="AJ350" s="117">
        <v>230000</v>
      </c>
      <c r="AK350" s="20">
        <v>0</v>
      </c>
      <c r="AL350" s="20">
        <f t="shared" si="96"/>
        <v>157</v>
      </c>
      <c r="AM350" s="20">
        <f t="shared" si="97"/>
        <v>36110000</v>
      </c>
      <c r="AN350" s="20"/>
    </row>
    <row r="351" spans="17:46">
      <c r="Q351" s="99" t="s">
        <v>5174</v>
      </c>
      <c r="R351" s="95">
        <v>6000000</v>
      </c>
      <c r="T351" s="99"/>
      <c r="U351" s="168"/>
      <c r="V351" s="113"/>
      <c r="W351" s="113"/>
      <c r="X351" s="99"/>
      <c r="AH351" s="149">
        <v>106</v>
      </c>
      <c r="AI351" s="149" t="s">
        <v>5238</v>
      </c>
      <c r="AJ351" s="188">
        <v>230000</v>
      </c>
      <c r="AK351" s="149">
        <v>1</v>
      </c>
      <c r="AL351" s="149">
        <f t="shared" ref="AL351:AL355" si="98">AK351+AL352</f>
        <v>157</v>
      </c>
      <c r="AM351" s="149">
        <f t="shared" ref="AM351:AM355" si="99">AJ351*AL351</f>
        <v>36110000</v>
      </c>
      <c r="AN351" s="149"/>
    </row>
    <row r="352" spans="17:46">
      <c r="Q352" s="99" t="s">
        <v>5177</v>
      </c>
      <c r="R352" s="95">
        <v>17220</v>
      </c>
      <c r="T352" s="168"/>
      <c r="U352" s="168">
        <f>SUM(U185:U351)</f>
        <v>3529528</v>
      </c>
      <c r="V352" s="99"/>
      <c r="W352" s="99"/>
      <c r="X352" s="99"/>
      <c r="AH352" s="149">
        <v>107</v>
      </c>
      <c r="AI352" s="149" t="s">
        <v>5239</v>
      </c>
      <c r="AJ352" s="188">
        <v>500000</v>
      </c>
      <c r="AK352" s="149">
        <v>1</v>
      </c>
      <c r="AL352" s="149">
        <f t="shared" si="98"/>
        <v>156</v>
      </c>
      <c r="AM352" s="149">
        <f t="shared" si="99"/>
        <v>78000000</v>
      </c>
      <c r="AN352" s="149"/>
    </row>
    <row r="353" spans="17:45">
      <c r="Q353" s="99" t="s">
        <v>5178</v>
      </c>
      <c r="R353" s="95">
        <v>8249</v>
      </c>
      <c r="T353" s="99"/>
      <c r="U353" s="99" t="s">
        <v>6</v>
      </c>
      <c r="V353" s="99"/>
      <c r="W353" s="99"/>
      <c r="X353" s="99"/>
      <c r="AH353" s="20">
        <v>108</v>
      </c>
      <c r="AI353" s="20" t="s">
        <v>5242</v>
      </c>
      <c r="AJ353" s="117">
        <v>-880000</v>
      </c>
      <c r="AK353" s="20">
        <v>4</v>
      </c>
      <c r="AL353" s="20">
        <f t="shared" si="98"/>
        <v>155</v>
      </c>
      <c r="AM353" s="20">
        <f t="shared" si="99"/>
        <v>-136400000</v>
      </c>
      <c r="AN353" s="20"/>
    </row>
    <row r="354" spans="17:45">
      <c r="Q354" s="99" t="s">
        <v>5180</v>
      </c>
      <c r="R354" s="95">
        <v>6937</v>
      </c>
      <c r="T354" s="200" t="s">
        <v>4471</v>
      </c>
      <c r="AH354" s="195">
        <v>109</v>
      </c>
      <c r="AI354" s="195" t="s">
        <v>5247</v>
      </c>
      <c r="AJ354" s="196">
        <v>873000</v>
      </c>
      <c r="AK354" s="195">
        <v>0</v>
      </c>
      <c r="AL354" s="195">
        <f t="shared" si="98"/>
        <v>151</v>
      </c>
      <c r="AM354" s="195">
        <f t="shared" si="99"/>
        <v>131823000</v>
      </c>
      <c r="AN354" s="195" t="s">
        <v>5188</v>
      </c>
    </row>
    <row r="355" spans="17:45">
      <c r="Q355" s="99" t="s">
        <v>5180</v>
      </c>
      <c r="R355" s="95">
        <v>4046552</v>
      </c>
      <c r="S355" t="s">
        <v>25</v>
      </c>
      <c r="T355" s="199">
        <f>R198/U352</f>
        <v>839.30264247797436</v>
      </c>
      <c r="AH355" s="20">
        <v>110</v>
      </c>
      <c r="AI355" s="20" t="s">
        <v>5247</v>
      </c>
      <c r="AJ355" s="117">
        <v>127000</v>
      </c>
      <c r="AK355" s="20">
        <v>0</v>
      </c>
      <c r="AL355" s="20">
        <f t="shared" si="98"/>
        <v>151</v>
      </c>
      <c r="AM355" s="20">
        <f t="shared" si="99"/>
        <v>19177000</v>
      </c>
      <c r="AN355" s="20" t="s">
        <v>5188</v>
      </c>
    </row>
    <row r="356" spans="17:45">
      <c r="Q356" s="99" t="s">
        <v>5183</v>
      </c>
      <c r="R356" s="95">
        <v>-3884943</v>
      </c>
      <c r="W356" s="114"/>
      <c r="Y356" t="s">
        <v>25</v>
      </c>
      <c r="AH356" s="20">
        <v>111</v>
      </c>
      <c r="AI356" s="20" t="s">
        <v>5247</v>
      </c>
      <c r="AJ356" s="117">
        <v>73000</v>
      </c>
      <c r="AK356" s="20">
        <v>1</v>
      </c>
      <c r="AL356" s="20">
        <f t="shared" ref="AL356:AL360" si="100">AK356+AL357</f>
        <v>151</v>
      </c>
      <c r="AM356" s="20">
        <f t="shared" ref="AM356:AM360" si="101">AJ356*AL356</f>
        <v>11023000</v>
      </c>
      <c r="AN356" s="20"/>
    </row>
    <row r="357" spans="17:45">
      <c r="Q357" s="99" t="s">
        <v>5192</v>
      </c>
      <c r="R357" s="95">
        <v>6022</v>
      </c>
      <c r="U357" s="96" t="s">
        <v>267</v>
      </c>
      <c r="V357" t="s">
        <v>4472</v>
      </c>
      <c r="X357">
        <v>137360</v>
      </c>
      <c r="Y357" t="s">
        <v>25</v>
      </c>
      <c r="AH357" s="20">
        <v>112</v>
      </c>
      <c r="AI357" s="20" t="s">
        <v>989</v>
      </c>
      <c r="AJ357" s="117">
        <v>4300000</v>
      </c>
      <c r="AK357" s="20">
        <v>1</v>
      </c>
      <c r="AL357" s="20">
        <f t="shared" si="100"/>
        <v>150</v>
      </c>
      <c r="AM357" s="20">
        <f t="shared" si="101"/>
        <v>645000000</v>
      </c>
      <c r="AN357" s="20"/>
    </row>
    <row r="358" spans="17:45">
      <c r="Q358" s="99" t="s">
        <v>5219</v>
      </c>
      <c r="R358" s="95">
        <v>400000</v>
      </c>
      <c r="T358" s="114"/>
      <c r="U358" s="113">
        <v>851434</v>
      </c>
      <c r="V358">
        <f>U358/T355</f>
        <v>1014.4540918949198</v>
      </c>
      <c r="X358">
        <v>102146</v>
      </c>
      <c r="AH358" s="20">
        <v>113</v>
      </c>
      <c r="AI358" s="20" t="s">
        <v>5114</v>
      </c>
      <c r="AJ358" s="117">
        <v>1600000</v>
      </c>
      <c r="AK358" s="20">
        <v>0</v>
      </c>
      <c r="AL358" s="20">
        <f t="shared" si="100"/>
        <v>149</v>
      </c>
      <c r="AM358" s="20">
        <f t="shared" si="101"/>
        <v>238400000</v>
      </c>
      <c r="AN358" s="20"/>
      <c r="AS358" t="s">
        <v>25</v>
      </c>
    </row>
    <row r="359" spans="17:45">
      <c r="Q359" s="99" t="s">
        <v>5223</v>
      </c>
      <c r="R359" s="95">
        <v>92847</v>
      </c>
      <c r="X359">
        <f>X357+X358</f>
        <v>239506</v>
      </c>
      <c r="Y359" t="s">
        <v>25</v>
      </c>
      <c r="AH359" s="20">
        <v>114</v>
      </c>
      <c r="AI359" s="20" t="s">
        <v>4271</v>
      </c>
      <c r="AJ359" s="117">
        <v>-10000000</v>
      </c>
      <c r="AK359" s="20">
        <v>1</v>
      </c>
      <c r="AL359" s="20">
        <f t="shared" si="100"/>
        <v>149</v>
      </c>
      <c r="AM359" s="20">
        <f t="shared" si="101"/>
        <v>-1490000000</v>
      </c>
      <c r="AN359" s="20" t="s">
        <v>5254</v>
      </c>
    </row>
    <row r="360" spans="17:45" ht="30">
      <c r="Q360" s="99" t="s">
        <v>5223</v>
      </c>
      <c r="R360" s="95">
        <v>-100000</v>
      </c>
      <c r="V360" s="22" t="s">
        <v>5246</v>
      </c>
      <c r="W360" s="223"/>
      <c r="X360" s="96">
        <f>X359/2</f>
        <v>119753</v>
      </c>
      <c r="Y360" t="s">
        <v>25</v>
      </c>
      <c r="AH360" s="20">
        <v>115</v>
      </c>
      <c r="AI360" s="20" t="s">
        <v>5253</v>
      </c>
      <c r="AJ360" s="117">
        <v>571000</v>
      </c>
      <c r="AK360" s="20">
        <v>4</v>
      </c>
      <c r="AL360" s="20">
        <f t="shared" si="100"/>
        <v>148</v>
      </c>
      <c r="AM360" s="20">
        <f t="shared" si="101"/>
        <v>84508000</v>
      </c>
      <c r="AN360" s="20"/>
    </row>
    <row r="361" spans="17:45">
      <c r="Q361" s="99" t="s">
        <v>5227</v>
      </c>
      <c r="R361" s="95">
        <v>10000000</v>
      </c>
      <c r="W361" s="96" t="s">
        <v>25</v>
      </c>
      <c r="X361">
        <f>X357-X360</f>
        <v>17607</v>
      </c>
      <c r="Y361" t="s">
        <v>25</v>
      </c>
      <c r="AH361" s="20">
        <v>116</v>
      </c>
      <c r="AI361" s="20" t="s">
        <v>5255</v>
      </c>
      <c r="AJ361" s="117">
        <v>200000</v>
      </c>
      <c r="AK361" s="20">
        <v>3</v>
      </c>
      <c r="AL361" s="20">
        <f t="shared" ref="AL361:AL372" si="102">AK361+AL362</f>
        <v>144</v>
      </c>
      <c r="AM361" s="20">
        <f t="shared" ref="AM361:AM372" si="103">AJ361*AL361</f>
        <v>28800000</v>
      </c>
      <c r="AN361" s="20"/>
    </row>
    <row r="362" spans="17:45">
      <c r="Q362" s="99" t="s">
        <v>5232</v>
      </c>
      <c r="R362" s="95">
        <v>-400000</v>
      </c>
      <c r="X362">
        <f>X358-X360</f>
        <v>-17607</v>
      </c>
      <c r="Y362" t="s">
        <v>25</v>
      </c>
      <c r="AH362" s="149">
        <v>117</v>
      </c>
      <c r="AI362" s="149" t="s">
        <v>5262</v>
      </c>
      <c r="AJ362" s="188">
        <v>50000</v>
      </c>
      <c r="AK362" s="149">
        <v>7</v>
      </c>
      <c r="AL362" s="149">
        <f t="shared" si="102"/>
        <v>141</v>
      </c>
      <c r="AM362" s="149">
        <f t="shared" si="103"/>
        <v>7050000</v>
      </c>
      <c r="AN362" s="149"/>
    </row>
    <row r="363" spans="17:45" ht="60">
      <c r="Q363" s="99" t="s">
        <v>5236</v>
      </c>
      <c r="R363" s="95">
        <v>5649</v>
      </c>
      <c r="T363" s="22" t="s">
        <v>4455</v>
      </c>
      <c r="V363" s="223"/>
      <c r="X363">
        <f>110+81.8</f>
        <v>191.8</v>
      </c>
      <c r="AH363" s="20">
        <v>118</v>
      </c>
      <c r="AI363" s="20" t="s">
        <v>5270</v>
      </c>
      <c r="AJ363" s="117">
        <v>-500000</v>
      </c>
      <c r="AK363" s="20">
        <v>12</v>
      </c>
      <c r="AL363" s="20">
        <f t="shared" si="102"/>
        <v>134</v>
      </c>
      <c r="AM363" s="20">
        <f t="shared" si="103"/>
        <v>-67000000</v>
      </c>
      <c r="AN363" s="20"/>
    </row>
    <row r="364" spans="17:45" ht="45">
      <c r="Q364" s="99" t="s">
        <v>5238</v>
      </c>
      <c r="R364" s="95">
        <v>460000</v>
      </c>
      <c r="T364" s="22" t="s">
        <v>4456</v>
      </c>
      <c r="X364">
        <f>X363/2</f>
        <v>95.9</v>
      </c>
      <c r="AH364" s="149">
        <v>119</v>
      </c>
      <c r="AI364" s="149" t="s">
        <v>988</v>
      </c>
      <c r="AJ364" s="188">
        <v>-50000</v>
      </c>
      <c r="AK364" s="149">
        <v>0</v>
      </c>
      <c r="AL364" s="149">
        <f t="shared" si="102"/>
        <v>122</v>
      </c>
      <c r="AM364" s="149">
        <f t="shared" si="103"/>
        <v>-6100000</v>
      </c>
      <c r="AN364" s="149"/>
    </row>
    <row r="365" spans="17:45">
      <c r="Q365" s="99" t="s">
        <v>5239</v>
      </c>
      <c r="R365" s="95">
        <v>1300000</v>
      </c>
      <c r="Y365" t="s">
        <v>25</v>
      </c>
      <c r="AH365" s="20">
        <v>120</v>
      </c>
      <c r="AI365" s="20" t="s">
        <v>988</v>
      </c>
      <c r="AJ365" s="117">
        <v>-50000</v>
      </c>
      <c r="AK365" s="20">
        <v>28</v>
      </c>
      <c r="AL365" s="20">
        <f t="shared" si="102"/>
        <v>122</v>
      </c>
      <c r="AM365" s="20">
        <f t="shared" si="103"/>
        <v>-6100000</v>
      </c>
      <c r="AN365" s="20"/>
    </row>
    <row r="366" spans="17:45">
      <c r="Q366" s="99" t="s">
        <v>5239</v>
      </c>
      <c r="R366" s="95">
        <v>7300000</v>
      </c>
      <c r="AH366" s="20">
        <v>121</v>
      </c>
      <c r="AI366" s="20" t="s">
        <v>5316</v>
      </c>
      <c r="AJ366" s="117">
        <v>-3020625</v>
      </c>
      <c r="AK366" s="20">
        <v>18</v>
      </c>
      <c r="AL366" s="20">
        <f t="shared" si="102"/>
        <v>94</v>
      </c>
      <c r="AM366" s="20">
        <f t="shared" si="103"/>
        <v>-283938750</v>
      </c>
      <c r="AN366" s="20"/>
    </row>
    <row r="367" spans="17:45">
      <c r="Q367" s="99" t="s">
        <v>989</v>
      </c>
      <c r="R367" s="95">
        <v>21203</v>
      </c>
      <c r="T367" s="99" t="s">
        <v>4473</v>
      </c>
      <c r="U367" s="99" t="s">
        <v>4445</v>
      </c>
      <c r="V367" s="99" t="s">
        <v>950</v>
      </c>
      <c r="W367" s="74"/>
      <c r="AH367" s="20">
        <v>122</v>
      </c>
      <c r="AI367" s="20" t="s">
        <v>5327</v>
      </c>
      <c r="AJ367" s="117">
        <v>18000000</v>
      </c>
      <c r="AK367" s="20">
        <v>19</v>
      </c>
      <c r="AL367" s="20">
        <f t="shared" si="102"/>
        <v>76</v>
      </c>
      <c r="AM367" s="20">
        <f t="shared" si="103"/>
        <v>1368000000</v>
      </c>
      <c r="AN367" s="20"/>
    </row>
    <row r="368" spans="17:45">
      <c r="Q368" s="99" t="s">
        <v>4271</v>
      </c>
      <c r="R368" s="95">
        <v>34550</v>
      </c>
      <c r="T368" s="95">
        <f>S237+R290+R385</f>
        <v>798528225</v>
      </c>
      <c r="U368" s="95">
        <f>R198</f>
        <v>2962342177.0999999</v>
      </c>
      <c r="V368" s="95">
        <f>U368-T368</f>
        <v>2163813952.0999999</v>
      </c>
      <c r="AH368" s="20">
        <v>123</v>
      </c>
      <c r="AI368" s="20" t="s">
        <v>5356</v>
      </c>
      <c r="AJ368" s="117">
        <v>2000000</v>
      </c>
      <c r="AK368" s="20">
        <v>6</v>
      </c>
      <c r="AL368" s="20">
        <f t="shared" si="102"/>
        <v>57</v>
      </c>
      <c r="AM368" s="20">
        <f t="shared" si="103"/>
        <v>114000000</v>
      </c>
      <c r="AN368" s="20"/>
    </row>
    <row r="369" spans="17:45">
      <c r="Q369" s="99" t="s">
        <v>5237</v>
      </c>
      <c r="R369" s="95">
        <v>-2134406</v>
      </c>
      <c r="AH369" s="149">
        <v>124</v>
      </c>
      <c r="AI369" s="149" t="s">
        <v>5369</v>
      </c>
      <c r="AJ369" s="188">
        <v>40000000</v>
      </c>
      <c r="AK369" s="149">
        <v>6</v>
      </c>
      <c r="AL369" s="149">
        <f t="shared" si="102"/>
        <v>51</v>
      </c>
      <c r="AM369" s="149">
        <f t="shared" si="103"/>
        <v>2040000000</v>
      </c>
      <c r="AN369" s="149"/>
    </row>
    <row r="370" spans="17:45">
      <c r="Q370" s="99" t="s">
        <v>5279</v>
      </c>
      <c r="R370" s="95">
        <v>-618906</v>
      </c>
      <c r="AH370" s="20">
        <v>125</v>
      </c>
      <c r="AI370" s="20" t="s">
        <v>5381</v>
      </c>
      <c r="AJ370" s="117">
        <v>200000</v>
      </c>
      <c r="AK370" s="20">
        <v>0</v>
      </c>
      <c r="AL370" s="20">
        <f t="shared" si="102"/>
        <v>45</v>
      </c>
      <c r="AM370" s="20">
        <f t="shared" si="103"/>
        <v>9000000</v>
      </c>
      <c r="AN370" s="20"/>
    </row>
    <row r="371" spans="17:45">
      <c r="Q371" s="99" t="s">
        <v>5282</v>
      </c>
      <c r="R371" s="95">
        <v>-54615</v>
      </c>
      <c r="S371" t="s">
        <v>25</v>
      </c>
      <c r="T371" s="117"/>
      <c r="V371" s="114">
        <f>(444000000+2500000)*2/3</f>
        <v>297666666.66666669</v>
      </c>
      <c r="AH371" s="149">
        <v>126</v>
      </c>
      <c r="AI371" s="149" t="s">
        <v>5381</v>
      </c>
      <c r="AJ371" s="188">
        <v>200000</v>
      </c>
      <c r="AK371" s="149">
        <v>1</v>
      </c>
      <c r="AL371" s="149">
        <f t="shared" si="102"/>
        <v>45</v>
      </c>
      <c r="AM371" s="149">
        <f t="shared" si="103"/>
        <v>9000000</v>
      </c>
      <c r="AN371" s="149"/>
    </row>
    <row r="372" spans="17:45">
      <c r="Q372" s="99" t="s">
        <v>5327</v>
      </c>
      <c r="R372" s="95">
        <v>18000000</v>
      </c>
      <c r="AH372" s="20">
        <v>127</v>
      </c>
      <c r="AI372" s="20" t="s">
        <v>5386</v>
      </c>
      <c r="AJ372" s="117">
        <v>50000</v>
      </c>
      <c r="AK372" s="20">
        <v>4</v>
      </c>
      <c r="AL372" s="20">
        <f t="shared" si="102"/>
        <v>44</v>
      </c>
      <c r="AM372" s="20">
        <f t="shared" si="103"/>
        <v>2200000</v>
      </c>
      <c r="AN372" s="20"/>
      <c r="AR372" t="s">
        <v>25</v>
      </c>
    </row>
    <row r="373" spans="17:45">
      <c r="Q373" s="99" t="s">
        <v>5381</v>
      </c>
      <c r="R373" s="95">
        <v>20000000</v>
      </c>
      <c r="T373" s="114">
        <f>W336+W337+W339+W340+W342+W343</f>
        <v>-301699041.74755996</v>
      </c>
      <c r="AH373" s="20">
        <v>128</v>
      </c>
      <c r="AI373" s="20" t="s">
        <v>5389</v>
      </c>
      <c r="AJ373" s="117">
        <v>100000</v>
      </c>
      <c r="AK373" s="20">
        <v>9</v>
      </c>
      <c r="AL373" s="20">
        <f t="shared" ref="AL373:AL377" si="104">AK373+AL374</f>
        <v>40</v>
      </c>
      <c r="AM373" s="20">
        <f t="shared" ref="AM373:AM377" si="105">AJ373*AL373</f>
        <v>4000000</v>
      </c>
      <c r="AN373" s="20"/>
    </row>
    <row r="374" spans="17:45">
      <c r="Q374" s="99" t="s">
        <v>5392</v>
      </c>
      <c r="R374" s="95">
        <v>27694196</v>
      </c>
      <c r="T374" t="s">
        <v>25</v>
      </c>
      <c r="AH374" s="20">
        <v>129</v>
      </c>
      <c r="AI374" s="20" t="s">
        <v>5408</v>
      </c>
      <c r="AJ374" s="117">
        <v>-550000</v>
      </c>
      <c r="AK374" s="20">
        <v>5</v>
      </c>
      <c r="AL374" s="20">
        <f t="shared" si="104"/>
        <v>31</v>
      </c>
      <c r="AM374" s="20">
        <f t="shared" si="105"/>
        <v>-17050000</v>
      </c>
      <c r="AN374" s="20"/>
      <c r="AS374" t="s">
        <v>25</v>
      </c>
    </row>
    <row r="375" spans="17:45">
      <c r="Q375" s="99" t="s">
        <v>5485</v>
      </c>
      <c r="R375" s="95">
        <v>7211722</v>
      </c>
      <c r="T375" s="114">
        <f>V371+T373</f>
        <v>-4032375.0808932781</v>
      </c>
      <c r="AH375" s="20">
        <v>130</v>
      </c>
      <c r="AI375" s="20" t="s">
        <v>5415</v>
      </c>
      <c r="AJ375" s="117">
        <v>-29686490</v>
      </c>
      <c r="AK375" s="20">
        <v>1</v>
      </c>
      <c r="AL375" s="20">
        <f t="shared" si="104"/>
        <v>26</v>
      </c>
      <c r="AM375" s="20">
        <f t="shared" si="105"/>
        <v>-771848740</v>
      </c>
      <c r="AN375" s="20"/>
    </row>
    <row r="376" spans="17:45">
      <c r="Q376" s="99" t="s">
        <v>5486</v>
      </c>
      <c r="R376" s="95">
        <v>8481864</v>
      </c>
      <c r="T376" t="s">
        <v>25</v>
      </c>
      <c r="AH376" s="20">
        <v>131</v>
      </c>
      <c r="AI376" s="20" t="s">
        <v>5426</v>
      </c>
      <c r="AJ376" s="117">
        <v>-9000000</v>
      </c>
      <c r="AK376" s="20">
        <v>8</v>
      </c>
      <c r="AL376" s="20">
        <f t="shared" si="104"/>
        <v>25</v>
      </c>
      <c r="AM376" s="20">
        <f t="shared" si="105"/>
        <v>-225000000</v>
      </c>
      <c r="AN376" s="20"/>
    </row>
    <row r="377" spans="17:45">
      <c r="Q377" s="99" t="s">
        <v>5498</v>
      </c>
      <c r="R377" s="95">
        <v>1558697</v>
      </c>
      <c r="T377" t="s">
        <v>25</v>
      </c>
      <c r="Y377" t="s">
        <v>25</v>
      </c>
      <c r="AH377" s="20">
        <v>132</v>
      </c>
      <c r="AI377" s="20" t="s">
        <v>5481</v>
      </c>
      <c r="AJ377" s="117">
        <v>810000</v>
      </c>
      <c r="AK377" s="20">
        <v>2</v>
      </c>
      <c r="AL377" s="20">
        <f t="shared" si="104"/>
        <v>17</v>
      </c>
      <c r="AM377" s="20">
        <f t="shared" si="105"/>
        <v>13770000</v>
      </c>
      <c r="AN377" s="20"/>
      <c r="AR377" t="s">
        <v>25</v>
      </c>
    </row>
    <row r="378" spans="17:45">
      <c r="Q378" s="99" t="s">
        <v>5504</v>
      </c>
      <c r="R378" s="95">
        <v>9042009</v>
      </c>
      <c r="AH378" s="20">
        <v>133</v>
      </c>
      <c r="AI378" s="20" t="s">
        <v>5486</v>
      </c>
      <c r="AJ378" s="117">
        <v>-5000000</v>
      </c>
      <c r="AK378" s="20">
        <v>3</v>
      </c>
      <c r="AL378" s="20">
        <f t="shared" ref="AL378:AL391" si="106">AK378+AL379</f>
        <v>15</v>
      </c>
      <c r="AM378" s="20">
        <f t="shared" ref="AM378:AM391" si="107">AJ378*AL378</f>
        <v>-75000000</v>
      </c>
      <c r="AN378" s="20"/>
    </row>
    <row r="379" spans="17:45">
      <c r="Q379" s="99" t="s">
        <v>5505</v>
      </c>
      <c r="R379" s="95">
        <v>94969</v>
      </c>
      <c r="AH379" s="20">
        <v>134</v>
      </c>
      <c r="AI379" s="20" t="s">
        <v>5498</v>
      </c>
      <c r="AJ379" s="117">
        <v>-26000000</v>
      </c>
      <c r="AK379" s="20">
        <v>0</v>
      </c>
      <c r="AL379" s="20">
        <f t="shared" si="106"/>
        <v>12</v>
      </c>
      <c r="AM379" s="20">
        <f t="shared" si="107"/>
        <v>-312000000</v>
      </c>
      <c r="AN379" s="20"/>
    </row>
    <row r="380" spans="17:45">
      <c r="Q380" s="99" t="s">
        <v>5514</v>
      </c>
      <c r="R380" s="95">
        <v>40000000</v>
      </c>
      <c r="T380" t="s">
        <v>25</v>
      </c>
      <c r="AH380" s="259">
        <v>135</v>
      </c>
      <c r="AI380" s="259" t="s">
        <v>5498</v>
      </c>
      <c r="AJ380" s="250">
        <v>-26000000</v>
      </c>
      <c r="AK380" s="259">
        <v>1</v>
      </c>
      <c r="AL380" s="259">
        <f t="shared" ref="AL380:AL383" si="108">AK380+AL381</f>
        <v>12</v>
      </c>
      <c r="AM380" s="259">
        <f t="shared" ref="AM380:AM383" si="109">AJ380*AL380</f>
        <v>-312000000</v>
      </c>
      <c r="AN380" s="259"/>
    </row>
    <row r="381" spans="17:45">
      <c r="Q381" s="99" t="s">
        <v>5514</v>
      </c>
      <c r="R381" s="95">
        <v>2806274</v>
      </c>
      <c r="T381" t="s">
        <v>25</v>
      </c>
      <c r="AH381" s="20">
        <v>136</v>
      </c>
      <c r="AI381" s="20" t="s">
        <v>5504</v>
      </c>
      <c r="AJ381" s="117">
        <v>-81800000</v>
      </c>
      <c r="AK381" s="20">
        <v>0</v>
      </c>
      <c r="AL381" s="20">
        <f t="shared" si="108"/>
        <v>11</v>
      </c>
      <c r="AM381" s="20">
        <f t="shared" si="109"/>
        <v>-899800000</v>
      </c>
      <c r="AN381" s="20"/>
      <c r="AP381" t="s">
        <v>25</v>
      </c>
    </row>
    <row r="382" spans="17:45">
      <c r="Q382" s="99" t="s">
        <v>5515</v>
      </c>
      <c r="R382" s="95">
        <v>1331702</v>
      </c>
      <c r="W382" s="96" t="s">
        <v>25</v>
      </c>
      <c r="AH382" s="259">
        <v>137</v>
      </c>
      <c r="AI382" s="259" t="s">
        <v>5504</v>
      </c>
      <c r="AJ382" s="250">
        <v>-110000000</v>
      </c>
      <c r="AK382" s="259">
        <v>1</v>
      </c>
      <c r="AL382" s="259">
        <f t="shared" si="108"/>
        <v>11</v>
      </c>
      <c r="AM382" s="259">
        <f t="shared" si="109"/>
        <v>-1210000000</v>
      </c>
      <c r="AN382" s="259"/>
    </row>
    <row r="383" spans="17:45">
      <c r="Q383" s="99" t="s">
        <v>5539</v>
      </c>
      <c r="R383" s="95">
        <v>851238</v>
      </c>
      <c r="T383" t="s">
        <v>25</v>
      </c>
      <c r="AH383" s="20">
        <v>138</v>
      </c>
      <c r="AI383" s="20" t="s">
        <v>5505</v>
      </c>
      <c r="AJ383" s="117">
        <v>-34000000</v>
      </c>
      <c r="AK383" s="20">
        <v>0</v>
      </c>
      <c r="AL383" s="20">
        <f t="shared" si="108"/>
        <v>10</v>
      </c>
      <c r="AM383" s="20">
        <f t="shared" si="109"/>
        <v>-340000000</v>
      </c>
      <c r="AN383" s="20"/>
    </row>
    <row r="384" spans="17:45">
      <c r="Q384" s="99"/>
      <c r="R384" s="95"/>
      <c r="T384" t="s">
        <v>25</v>
      </c>
      <c r="AH384" s="149">
        <v>139</v>
      </c>
      <c r="AI384" s="149" t="s">
        <v>5505</v>
      </c>
      <c r="AJ384" s="188">
        <v>-23900000</v>
      </c>
      <c r="AK384" s="149">
        <v>5</v>
      </c>
      <c r="AL384" s="149">
        <f t="shared" ref="AL384:AL390" si="110">AK384+AL385</f>
        <v>10</v>
      </c>
      <c r="AM384" s="149">
        <f t="shared" ref="AM384:AM390" si="111">AJ384*AL384</f>
        <v>-239000000</v>
      </c>
      <c r="AN384" s="149"/>
    </row>
    <row r="385" spans="17:45">
      <c r="Q385" s="99"/>
      <c r="R385" s="95">
        <f>SUM(R295:R384)</f>
        <v>536299657</v>
      </c>
      <c r="T385" t="s">
        <v>25</v>
      </c>
      <c r="AH385" s="20">
        <v>140</v>
      </c>
      <c r="AI385" s="20" t="s">
        <v>5539</v>
      </c>
      <c r="AJ385" s="117">
        <v>1000000</v>
      </c>
      <c r="AK385" s="20">
        <v>0</v>
      </c>
      <c r="AL385" s="20">
        <f t="shared" si="110"/>
        <v>5</v>
      </c>
      <c r="AM385" s="20">
        <f t="shared" si="111"/>
        <v>5000000</v>
      </c>
      <c r="AN385" s="20"/>
    </row>
    <row r="386" spans="17:45">
      <c r="Q386" s="99"/>
      <c r="R386" s="99" t="s">
        <v>6</v>
      </c>
      <c r="T386" t="s">
        <v>25</v>
      </c>
      <c r="U386" s="96" t="s">
        <v>25</v>
      </c>
      <c r="AH386" s="149">
        <v>141</v>
      </c>
      <c r="AI386" s="149" t="s">
        <v>5539</v>
      </c>
      <c r="AJ386" s="188">
        <v>1000000</v>
      </c>
      <c r="AK386" s="149">
        <v>4</v>
      </c>
      <c r="AL386" s="149">
        <f t="shared" si="110"/>
        <v>5</v>
      </c>
      <c r="AM386" s="149">
        <f t="shared" si="111"/>
        <v>5000000</v>
      </c>
      <c r="AN386" s="149"/>
    </row>
    <row r="387" spans="17:45">
      <c r="T387" t="s">
        <v>25</v>
      </c>
      <c r="AF387" s="96" t="s">
        <v>25</v>
      </c>
      <c r="AH387" s="20">
        <v>142</v>
      </c>
      <c r="AI387" s="20" t="s">
        <v>5551</v>
      </c>
      <c r="AJ387" s="117">
        <v>400000</v>
      </c>
      <c r="AK387" s="20">
        <v>0</v>
      </c>
      <c r="AL387" s="20">
        <f t="shared" si="110"/>
        <v>1</v>
      </c>
      <c r="AM387" s="20">
        <f t="shared" si="111"/>
        <v>400000</v>
      </c>
      <c r="AN387" s="20"/>
    </row>
    <row r="388" spans="17:45">
      <c r="T388" t="s">
        <v>25</v>
      </c>
      <c r="AH388" s="149">
        <v>143</v>
      </c>
      <c r="AI388" s="149" t="s">
        <v>5551</v>
      </c>
      <c r="AJ388" s="188">
        <v>400000</v>
      </c>
      <c r="AK388" s="149">
        <v>1</v>
      </c>
      <c r="AL388" s="149">
        <f t="shared" si="110"/>
        <v>1</v>
      </c>
      <c r="AM388" s="149">
        <f t="shared" si="111"/>
        <v>400000</v>
      </c>
      <c r="AN388" s="149"/>
      <c r="AS388" t="s">
        <v>25</v>
      </c>
    </row>
    <row r="389" spans="17:45">
      <c r="Q389" t="s">
        <v>25</v>
      </c>
      <c r="T389" t="s">
        <v>25</v>
      </c>
      <c r="U389" s="96" t="s">
        <v>25</v>
      </c>
      <c r="V389" t="s">
        <v>25</v>
      </c>
      <c r="AH389" s="20"/>
      <c r="AI389" s="20"/>
      <c r="AJ389" s="117"/>
      <c r="AK389" s="20"/>
      <c r="AL389" s="20">
        <f t="shared" si="110"/>
        <v>0</v>
      </c>
      <c r="AM389" s="20">
        <f t="shared" si="111"/>
        <v>0</v>
      </c>
      <c r="AN389" s="20"/>
    </row>
    <row r="390" spans="17:45">
      <c r="T390" t="s">
        <v>25</v>
      </c>
      <c r="AH390" s="20"/>
      <c r="AI390" s="20"/>
      <c r="AJ390" s="117"/>
      <c r="AK390" s="20"/>
      <c r="AL390" s="20">
        <f t="shared" si="110"/>
        <v>0</v>
      </c>
      <c r="AM390" s="20">
        <f t="shared" si="111"/>
        <v>0</v>
      </c>
      <c r="AN390" s="20"/>
    </row>
    <row r="391" spans="17:45">
      <c r="AH391" s="99"/>
      <c r="AI391" s="99"/>
      <c r="AJ391" s="117"/>
      <c r="AK391" s="99"/>
      <c r="AL391" s="20">
        <f t="shared" si="106"/>
        <v>0</v>
      </c>
      <c r="AM391" s="20">
        <f t="shared" si="107"/>
        <v>0</v>
      </c>
      <c r="AN391" s="20"/>
    </row>
    <row r="392" spans="17:45">
      <c r="R392" t="s">
        <v>25</v>
      </c>
      <c r="T392" t="s">
        <v>25</v>
      </c>
      <c r="AH392" s="99"/>
      <c r="AI392" s="99"/>
      <c r="AJ392" s="117"/>
      <c r="AK392" s="99"/>
      <c r="AL392" s="20">
        <f t="shared" si="96"/>
        <v>0</v>
      </c>
      <c r="AM392" s="20">
        <f t="shared" si="97"/>
        <v>0</v>
      </c>
      <c r="AN392" s="99"/>
    </row>
    <row r="393" spans="17:45">
      <c r="T393" t="s">
        <v>25</v>
      </c>
      <c r="U393" s="96" t="s">
        <v>25</v>
      </c>
      <c r="AH393" s="99"/>
      <c r="AI393" s="99"/>
      <c r="AJ393" s="95">
        <f>SUM(AJ246:AJ392)</f>
        <v>167290737</v>
      </c>
      <c r="AK393" s="99"/>
      <c r="AL393" s="99"/>
      <c r="AM393" s="99">
        <f>SUM(AM246:AM392)</f>
        <v>156227358333</v>
      </c>
      <c r="AN393" s="95">
        <f>AM393*AN232/31</f>
        <v>83994883.268906802</v>
      </c>
    </row>
    <row r="394" spans="17:45">
      <c r="R394" t="s">
        <v>25</v>
      </c>
      <c r="AJ394" t="s">
        <v>4055</v>
      </c>
      <c r="AM394" t="s">
        <v>284</v>
      </c>
      <c r="AN394" t="s">
        <v>940</v>
      </c>
    </row>
    <row r="395" spans="17:45">
      <c r="U395" s="96" t="s">
        <v>25</v>
      </c>
    </row>
    <row r="396" spans="17:45">
      <c r="AI396" t="s">
        <v>4057</v>
      </c>
      <c r="AJ396" s="114">
        <f>AJ393+AN393</f>
        <v>251285620.2689068</v>
      </c>
    </row>
    <row r="397" spans="17:45">
      <c r="AI397" t="s">
        <v>4060</v>
      </c>
      <c r="AJ397" s="114">
        <f>SUM(N20:N38)</f>
        <v>1040863107.9999999</v>
      </c>
    </row>
    <row r="398" spans="17:45">
      <c r="AI398" t="s">
        <v>4132</v>
      </c>
      <c r="AJ398" s="114">
        <f>AJ397-AJ393</f>
        <v>873572370.99999988</v>
      </c>
    </row>
    <row r="399" spans="17:45">
      <c r="AI399" t="s">
        <v>940</v>
      </c>
      <c r="AJ399" s="114">
        <f>AN393</f>
        <v>83994883.268906802</v>
      </c>
    </row>
    <row r="400" spans="17:45">
      <c r="AI400" t="s">
        <v>4061</v>
      </c>
      <c r="AJ400" s="114">
        <f>AJ398-AJ399</f>
        <v>789577487.73109305</v>
      </c>
      <c r="AM400" t="s">
        <v>25</v>
      </c>
      <c r="AN400" t="s">
        <v>25</v>
      </c>
    </row>
    <row r="401" spans="38:40">
      <c r="AL401" t="s">
        <v>25</v>
      </c>
      <c r="AM401" t="s">
        <v>25</v>
      </c>
      <c r="AN401" t="s">
        <v>25</v>
      </c>
    </row>
    <row r="404" spans="38:40">
      <c r="AN404" t="s">
        <v>25</v>
      </c>
    </row>
    <row r="405" spans="38:40">
      <c r="AN405"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0:G133 G135 G142:G143 G146:G150 G176:G1048576 G114:G124 G152:G155 G160:G174">
    <cfRule type="cellIs" dxfId="9" priority="13" operator="lessThan">
      <formula>0</formula>
    </cfRule>
  </conditionalFormatting>
  <conditionalFormatting sqref="G125">
    <cfRule type="cellIs" dxfId="8" priority="4" operator="lessThan">
      <formula>0</formula>
    </cfRule>
  </conditionalFormatting>
  <conditionalFormatting sqref="G126 G128">
    <cfRule type="cellIs" dxfId="7" priority="5" operator="lessThan">
      <formula>0</formula>
    </cfRule>
  </conditionalFormatting>
  <conditionalFormatting sqref="G129">
    <cfRule type="cellIs" dxfId="6" priority="2" operator="lessThan">
      <formula>0</formula>
    </cfRule>
  </conditionalFormatting>
  <conditionalFormatting sqref="G127">
    <cfRule type="cellIs" dxfId="5" priority="3" operator="lessThan">
      <formula>0</formula>
    </cfRule>
  </conditionalFormatting>
  <conditionalFormatting sqref="G156">
    <cfRule type="cellIs" dxfId="4" priority="1" operator="lessThan">
      <formula>0</formula>
    </cfRule>
  </conditionalFormatting>
  <pageMargins left="0.7" right="0.7" top="0.75" bottom="0.75" header="0.3" footer="0.3"/>
  <pageSetup orientation="portrait" r:id="rId1"/>
  <ignoredErrors>
    <ignoredError sqref="N10" formulaRange="1"/>
    <ignoredError sqref="S22 S107 G136 S119 S71 S125 S127 P28 S44 P31 S146 S148 S153" formula="1"/>
    <ignoredError sqref="N123 N127"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2020-03-24T00:02:19Z</dcterms:modified>
</cp:coreProperties>
</file>