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J117" i="18" l="1"/>
  <c r="P127" i="52"/>
  <c r="O127" i="52"/>
  <c r="P138" i="18"/>
  <c r="N29" i="60"/>
  <c r="P126" i="52" l="1"/>
  <c r="J126" i="52"/>
  <c r="O126" i="52"/>
  <c r="W226" i="18"/>
  <c r="O125" i="52" l="1"/>
  <c r="J125" i="52"/>
  <c r="U229" i="18" l="1"/>
  <c r="W225" i="18"/>
  <c r="J124" i="52" l="1"/>
  <c r="N125" i="52"/>
  <c r="O146" i="52"/>
  <c r="O145" i="52"/>
  <c r="O144" i="52"/>
  <c r="O143" i="52"/>
  <c r="O142" i="52"/>
  <c r="O141" i="52"/>
  <c r="O140" i="52"/>
  <c r="O139" i="52"/>
  <c r="O138" i="52"/>
  <c r="O137" i="52"/>
  <c r="O136" i="52"/>
  <c r="O135" i="52"/>
  <c r="O134" i="52"/>
  <c r="O133" i="52"/>
  <c r="O132" i="52"/>
  <c r="O131" i="52"/>
  <c r="O130" i="52"/>
  <c r="O129" i="52"/>
  <c r="O128" i="52"/>
  <c r="O124" i="52"/>
  <c r="N124" i="52"/>
  <c r="N126" i="52"/>
  <c r="N127" i="52"/>
  <c r="N128" i="52"/>
  <c r="N129" i="52"/>
  <c r="N130" i="52"/>
  <c r="P130" i="52" s="1"/>
  <c r="N131" i="52"/>
  <c r="P131" i="52" s="1"/>
  <c r="N132" i="52"/>
  <c r="P132" i="52" s="1"/>
  <c r="N133" i="52"/>
  <c r="N134" i="52"/>
  <c r="P134" i="52" s="1"/>
  <c r="N135" i="52"/>
  <c r="P135" i="52" s="1"/>
  <c r="N136" i="52"/>
  <c r="P136" i="52" s="1"/>
  <c r="N137" i="52"/>
  <c r="N138" i="52"/>
  <c r="P138" i="52" s="1"/>
  <c r="N139" i="52"/>
  <c r="P139" i="52" s="1"/>
  <c r="N140" i="52"/>
  <c r="P140" i="52" s="1"/>
  <c r="N141" i="52"/>
  <c r="N142" i="52"/>
  <c r="P142" i="52" s="1"/>
  <c r="N143" i="52"/>
  <c r="P143" i="52" s="1"/>
  <c r="N144" i="52"/>
  <c r="P144" i="52" s="1"/>
  <c r="N145" i="52"/>
  <c r="N146" i="52"/>
  <c r="P146" i="52" s="1"/>
  <c r="J145" i="52"/>
  <c r="J144" i="52"/>
  <c r="J143" i="52"/>
  <c r="J142" i="52"/>
  <c r="J141" i="52"/>
  <c r="J140" i="52"/>
  <c r="J139" i="52"/>
  <c r="J138" i="52"/>
  <c r="J137" i="52"/>
  <c r="J136" i="52"/>
  <c r="J135" i="52"/>
  <c r="J134" i="52"/>
  <c r="J133" i="52"/>
  <c r="J132" i="52"/>
  <c r="J131" i="52"/>
  <c r="J130" i="52"/>
  <c r="J129" i="52"/>
  <c r="J128" i="52"/>
  <c r="J127" i="52"/>
  <c r="W224" i="18"/>
  <c r="P128" i="52" l="1"/>
  <c r="P145" i="52"/>
  <c r="P141" i="52"/>
  <c r="P137" i="52"/>
  <c r="P133" i="52"/>
  <c r="P129" i="52"/>
  <c r="P125" i="52"/>
  <c r="O123" i="52"/>
  <c r="N123" i="52"/>
  <c r="P124" i="52" s="1"/>
  <c r="J123" i="52"/>
  <c r="W223" i="18" l="1"/>
  <c r="D63" i="58" l="1"/>
  <c r="O121" i="52" l="1"/>
  <c r="J121" i="52"/>
  <c r="W222" i="18"/>
  <c r="D28" i="60" l="1"/>
  <c r="D30" i="60"/>
  <c r="D31" i="60" s="1"/>
  <c r="D32" i="60" s="1"/>
  <c r="D33" i="60" s="1"/>
  <c r="W221" i="18"/>
  <c r="J120" i="52"/>
  <c r="M99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S184" i="18" l="1"/>
  <c r="W220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03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P147" i="52" s="1"/>
  <c r="O122" i="52"/>
  <c r="N122" i="52"/>
  <c r="P123" i="52" s="1"/>
  <c r="N121" i="52"/>
  <c r="O120" i="52"/>
  <c r="N120" i="52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22" i="52"/>
  <c r="J119" i="52"/>
  <c r="J118" i="52"/>
  <c r="J117" i="52"/>
  <c r="J116" i="52"/>
  <c r="J115" i="52"/>
  <c r="J114" i="52"/>
  <c r="J113" i="52"/>
  <c r="J112" i="52"/>
  <c r="J111" i="52"/>
  <c r="J110" i="52"/>
  <c r="P120" i="52" l="1"/>
  <c r="P121" i="52"/>
  <c r="D305" i="15"/>
  <c r="F306" i="15"/>
  <c r="P112" i="52"/>
  <c r="P113" i="52"/>
  <c r="P118" i="52"/>
  <c r="P122" i="52"/>
  <c r="P119" i="52"/>
  <c r="P114" i="52"/>
  <c r="P115" i="52"/>
  <c r="O110" i="52"/>
  <c r="D304" i="15" l="1"/>
  <c r="F305" i="15"/>
  <c r="W219" i="18"/>
  <c r="J108" i="52"/>
  <c r="D303" i="15" l="1"/>
  <c r="F304" i="15"/>
  <c r="W218" i="18"/>
  <c r="W217" i="18"/>
  <c r="F303" i="15" l="1"/>
  <c r="D302" i="15"/>
  <c r="O106" i="52"/>
  <c r="J106" i="52"/>
  <c r="D301" i="15" l="1"/>
  <c r="F302" i="15"/>
  <c r="J104" i="52"/>
  <c r="G115" i="18"/>
  <c r="E276" i="15"/>
  <c r="E277" i="15"/>
  <c r="E278" i="15"/>
  <c r="E279" i="15"/>
  <c r="E280" i="15"/>
  <c r="D300" i="15" l="1"/>
  <c r="F301" i="15"/>
  <c r="AL264" i="18"/>
  <c r="W216" i="18"/>
  <c r="AM264" i="18" l="1"/>
  <c r="AL263" i="18"/>
  <c r="D299" i="15"/>
  <c r="F300" i="15"/>
  <c r="C7" i="60"/>
  <c r="J3" i="60"/>
  <c r="F8" i="60" s="1"/>
  <c r="D3" i="60"/>
  <c r="D4" i="60"/>
  <c r="D5" i="60"/>
  <c r="D6" i="60"/>
  <c r="D2" i="60"/>
  <c r="AL262" i="18" l="1"/>
  <c r="AM263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5" i="18"/>
  <c r="AM262" i="18" l="1"/>
  <c r="AL261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60" i="18" l="1"/>
  <c r="AM261" i="18"/>
  <c r="D296" i="15"/>
  <c r="F297" i="15"/>
  <c r="AM260" i="18" l="1"/>
  <c r="AL259" i="18"/>
  <c r="D295" i="15"/>
  <c r="F296" i="15"/>
  <c r="D77" i="52"/>
  <c r="AL258" i="18" l="1"/>
  <c r="AM259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58" i="18"/>
  <c r="AL257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56" i="18" l="1"/>
  <c r="AM257" i="18"/>
  <c r="D292" i="15"/>
  <c r="F293" i="15"/>
  <c r="R260" i="18"/>
  <c r="J90" i="52"/>
  <c r="J95" i="52"/>
  <c r="W214" i="18"/>
  <c r="AJ180" i="18"/>
  <c r="AM256" i="18" l="1"/>
  <c r="AL255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54" i="18" l="1"/>
  <c r="AM255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0" i="18"/>
  <c r="O129" i="18"/>
  <c r="O128" i="18"/>
  <c r="AM254" i="18" l="1"/>
  <c r="AL253" i="18"/>
  <c r="D289" i="15"/>
  <c r="F290" i="15"/>
  <c r="P97" i="52"/>
  <c r="P98" i="52"/>
  <c r="P95" i="52"/>
  <c r="P96" i="52"/>
  <c r="P94" i="52"/>
  <c r="P93" i="52"/>
  <c r="O132" i="18"/>
  <c r="N91" i="52"/>
  <c r="P92" i="52" s="1"/>
  <c r="AL252" i="18" l="1"/>
  <c r="AM253" i="18"/>
  <c r="F289" i="15"/>
  <c r="D288" i="15"/>
  <c r="R215" i="18"/>
  <c r="T245" i="18" s="1"/>
  <c r="W213" i="18"/>
  <c r="W212" i="18"/>
  <c r="W211" i="18"/>
  <c r="M48" i="52"/>
  <c r="M47" i="52"/>
  <c r="N38" i="52"/>
  <c r="N37" i="52"/>
  <c r="M49" i="52"/>
  <c r="N50" i="52" s="1"/>
  <c r="AM252" i="18" l="1"/>
  <c r="AL251" i="18"/>
  <c r="D287" i="15"/>
  <c r="F288" i="15"/>
  <c r="N49" i="52"/>
  <c r="W210" i="18"/>
  <c r="AM251" i="18" l="1"/>
  <c r="AL250" i="18"/>
  <c r="F287" i="15"/>
  <c r="D286" i="15"/>
  <c r="J116" i="18"/>
  <c r="J115" i="18"/>
  <c r="G114" i="18"/>
  <c r="J114" i="18" s="1"/>
  <c r="J113" i="18"/>
  <c r="AL249" i="18" l="1"/>
  <c r="AM250" i="18"/>
  <c r="D285" i="15"/>
  <c r="F286" i="15"/>
  <c r="W209" i="18"/>
  <c r="AM249" i="18" l="1"/>
  <c r="AL248" i="18"/>
  <c r="D284" i="15"/>
  <c r="F285" i="15"/>
  <c r="O90" i="52"/>
  <c r="O91" i="52"/>
  <c r="J91" i="52"/>
  <c r="AL247" i="18" l="1"/>
  <c r="AM248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8" i="18"/>
  <c r="AM247" i="18" l="1"/>
  <c r="AL246" i="18"/>
  <c r="F283" i="15"/>
  <c r="D282" i="15"/>
  <c r="G32" i="57"/>
  <c r="H32" i="57"/>
  <c r="D32" i="57"/>
  <c r="I32" i="57" s="1"/>
  <c r="D345" i="20"/>
  <c r="W207" i="18"/>
  <c r="W206" i="18"/>
  <c r="AL245" i="18" l="1"/>
  <c r="AM246" i="18"/>
  <c r="D281" i="15"/>
  <c r="F282" i="15"/>
  <c r="W142" i="18"/>
  <c r="W141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45" i="18" l="1"/>
  <c r="AL244" i="18"/>
  <c r="F281" i="15"/>
  <c r="D280" i="15"/>
  <c r="C46" i="56"/>
  <c r="B46" i="56"/>
  <c r="AL243" i="18" l="1"/>
  <c r="AM243" i="18" s="1"/>
  <c r="AM244" i="18"/>
  <c r="D279" i="15"/>
  <c r="F280" i="15"/>
  <c r="O84" i="52"/>
  <c r="W205" i="18"/>
  <c r="D343" i="20"/>
  <c r="F279" i="15" l="1"/>
  <c r="D278" i="15"/>
  <c r="W204" i="18"/>
  <c r="D342" i="20"/>
  <c r="J83" i="52"/>
  <c r="O83" i="52"/>
  <c r="W203" i="18"/>
  <c r="W202" i="18"/>
  <c r="F44" i="14"/>
  <c r="F45" i="14"/>
  <c r="F46" i="14"/>
  <c r="F47" i="14"/>
  <c r="F48" i="14"/>
  <c r="F49" i="14"/>
  <c r="F50" i="14"/>
  <c r="D341" i="20"/>
  <c r="F278" i="15" l="1"/>
  <c r="D277" i="15"/>
  <c r="AJ265" i="18"/>
  <c r="D276" i="15" l="1"/>
  <c r="F276" i="15" s="1"/>
  <c r="F277" i="15"/>
  <c r="W201" i="18"/>
  <c r="D340" i="20" l="1"/>
  <c r="W200" i="18"/>
  <c r="H337" i="20"/>
  <c r="H338" i="20"/>
  <c r="H339" i="20"/>
  <c r="H340" i="20"/>
  <c r="H341" i="20"/>
  <c r="H368" i="20"/>
  <c r="H369" i="20"/>
  <c r="D339" i="20"/>
  <c r="O62" i="18" l="1"/>
  <c r="O61" i="18"/>
  <c r="O60" i="18"/>
  <c r="B371" i="20"/>
  <c r="D332" i="20"/>
  <c r="D333" i="20"/>
  <c r="D334" i="20"/>
  <c r="D335" i="20"/>
  <c r="D336" i="20"/>
  <c r="D337" i="20"/>
  <c r="D338" i="20"/>
  <c r="D369" i="20"/>
  <c r="W199" i="18" l="1"/>
  <c r="D80" i="57"/>
  <c r="AD46" i="52" l="1"/>
  <c r="AE46" i="52"/>
  <c r="G46" i="10"/>
  <c r="D331" i="20" l="1"/>
  <c r="D330" i="20" l="1"/>
  <c r="W198" i="18" l="1"/>
  <c r="W197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6" i="18" l="1"/>
  <c r="W195" i="18"/>
  <c r="Z40" i="52" l="1"/>
  <c r="Z39" i="52"/>
  <c r="Z38" i="52"/>
  <c r="AD38" i="52"/>
  <c r="AD39" i="52"/>
  <c r="AD40" i="52"/>
  <c r="AE40" i="52"/>
  <c r="AE39" i="52"/>
  <c r="AE38" i="52"/>
  <c r="R157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4" i="18"/>
  <c r="W193" i="18"/>
  <c r="L32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2" i="18" l="1"/>
  <c r="W191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0" i="18" l="1"/>
  <c r="W18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8" i="18" l="1"/>
  <c r="W187" i="18"/>
  <c r="N30" i="52"/>
  <c r="N29" i="52"/>
  <c r="AD27" i="52"/>
  <c r="Z27" i="52"/>
  <c r="AE27" i="52"/>
  <c r="W186" i="18" l="1"/>
  <c r="W185" i="18"/>
  <c r="N28" i="52"/>
  <c r="N27" i="52"/>
  <c r="AD26" i="52" l="1"/>
  <c r="AE26" i="52"/>
  <c r="N34" i="18"/>
  <c r="AL242" i="18" l="1"/>
  <c r="D313" i="20"/>
  <c r="AL241" i="18" l="1"/>
  <c r="AM242" i="18"/>
  <c r="L104" i="18"/>
  <c r="L101" i="18" s="1"/>
  <c r="AM241" i="18" l="1"/>
  <c r="AL240" i="18"/>
  <c r="M104" i="18"/>
  <c r="L97" i="18"/>
  <c r="W184" i="18"/>
  <c r="W183" i="18"/>
  <c r="N24" i="52"/>
  <c r="N26" i="52"/>
  <c r="N25" i="52"/>
  <c r="AL239" i="18" l="1"/>
  <c r="AM240" i="18"/>
  <c r="N53" i="18"/>
  <c r="L99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39" i="18"/>
  <c r="AL238" i="18"/>
  <c r="I370" i="20"/>
  <c r="J370" i="20"/>
  <c r="W182" i="18"/>
  <c r="W181" i="18"/>
  <c r="N23" i="52"/>
  <c r="N22" i="52"/>
  <c r="Z24" i="52"/>
  <c r="AD24" i="52"/>
  <c r="AE24" i="52"/>
  <c r="I368" i="20" l="1"/>
  <c r="G367" i="20"/>
  <c r="J368" i="20"/>
  <c r="K368" i="20"/>
  <c r="AL237" i="18"/>
  <c r="AM238" i="18"/>
  <c r="W180" i="18"/>
  <c r="W179" i="18"/>
  <c r="N21" i="52"/>
  <c r="N20" i="52"/>
  <c r="G366" i="20" l="1"/>
  <c r="I367" i="20"/>
  <c r="K367" i="20"/>
  <c r="J367" i="20"/>
  <c r="AL236" i="18"/>
  <c r="AM237" i="18"/>
  <c r="D309" i="20"/>
  <c r="J366" i="20" l="1"/>
  <c r="K366" i="20"/>
  <c r="I366" i="20"/>
  <c r="G365" i="20"/>
  <c r="AL235" i="18"/>
  <c r="AM236" i="18"/>
  <c r="D308" i="20"/>
  <c r="G364" i="20" l="1"/>
  <c r="I365" i="20"/>
  <c r="J365" i="20"/>
  <c r="K365" i="20"/>
  <c r="AL234" i="18"/>
  <c r="AM235" i="18"/>
  <c r="AL179" i="18"/>
  <c r="D307" i="20"/>
  <c r="AM179" i="18" l="1"/>
  <c r="AL178" i="18"/>
  <c r="I364" i="20"/>
  <c r="J364" i="20"/>
  <c r="K364" i="20"/>
  <c r="G363" i="20"/>
  <c r="AL233" i="18"/>
  <c r="AM234" i="18"/>
  <c r="AD23" i="52"/>
  <c r="Z23" i="52"/>
  <c r="AE23" i="52"/>
  <c r="Z22" i="52"/>
  <c r="AD22" i="52"/>
  <c r="AE22" i="52"/>
  <c r="AL177" i="18" l="1"/>
  <c r="AM178" i="18"/>
  <c r="G362" i="20"/>
  <c r="I363" i="20"/>
  <c r="J363" i="20"/>
  <c r="K363" i="20"/>
  <c r="AL232" i="18"/>
  <c r="AM233" i="18"/>
  <c r="W178" i="18"/>
  <c r="W177" i="18"/>
  <c r="AL176" i="18" l="1"/>
  <c r="AM177" i="18"/>
  <c r="K362" i="20"/>
  <c r="G361" i="20"/>
  <c r="I362" i="20"/>
  <c r="J362" i="20"/>
  <c r="AL231" i="18"/>
  <c r="AM232" i="18"/>
  <c r="AD21" i="52"/>
  <c r="AC21" i="52"/>
  <c r="AE21" i="52"/>
  <c r="AD20" i="52"/>
  <c r="AC20" i="52"/>
  <c r="AE20" i="52"/>
  <c r="AL175" i="18" l="1"/>
  <c r="AM176" i="18"/>
  <c r="I361" i="20"/>
  <c r="G360" i="20"/>
  <c r="J361" i="20"/>
  <c r="K361" i="20"/>
  <c r="AL230" i="18"/>
  <c r="AM231" i="18"/>
  <c r="G100" i="18"/>
  <c r="F100" i="18" s="1"/>
  <c r="G98" i="18"/>
  <c r="F98" i="18" s="1"/>
  <c r="G97" i="18"/>
  <c r="F97" i="18" s="1"/>
  <c r="P22" i="18"/>
  <c r="N22" i="18" s="1"/>
  <c r="AL174" i="18" l="1"/>
  <c r="AM175" i="18"/>
  <c r="I360" i="20"/>
  <c r="K360" i="20"/>
  <c r="G359" i="20"/>
  <c r="J360" i="20"/>
  <c r="AL229" i="18"/>
  <c r="AM230" i="18"/>
  <c r="D306" i="20"/>
  <c r="AL173" i="18" l="1"/>
  <c r="AM174" i="18"/>
  <c r="G358" i="20"/>
  <c r="J359" i="20"/>
  <c r="K359" i="20"/>
  <c r="I359" i="20"/>
  <c r="AL228" i="18"/>
  <c r="AM229" i="18"/>
  <c r="D305" i="20"/>
  <c r="AL172" i="18" l="1"/>
  <c r="AM173" i="18"/>
  <c r="K358" i="20"/>
  <c r="I358" i="20"/>
  <c r="G357" i="20"/>
  <c r="J358" i="20"/>
  <c r="AL227" i="18"/>
  <c r="AM228" i="18"/>
  <c r="AD19" i="52"/>
  <c r="AD18" i="52"/>
  <c r="Z19" i="52"/>
  <c r="Z18" i="52"/>
  <c r="AE19" i="52"/>
  <c r="AE18" i="52"/>
  <c r="AL171" i="18" l="1"/>
  <c r="AM172" i="18"/>
  <c r="I357" i="20"/>
  <c r="J357" i="20"/>
  <c r="G356" i="20"/>
  <c r="K357" i="20"/>
  <c r="AM227" i="18"/>
  <c r="AL226" i="18"/>
  <c r="D304" i="20"/>
  <c r="W176" i="18"/>
  <c r="W175" i="18"/>
  <c r="AD17" i="52"/>
  <c r="Z17" i="52"/>
  <c r="AE17" i="52"/>
  <c r="AD16" i="52"/>
  <c r="Z16" i="52"/>
  <c r="AE16" i="52"/>
  <c r="N17" i="52"/>
  <c r="N16" i="52"/>
  <c r="AL170" i="18" l="1"/>
  <c r="AM171" i="18"/>
  <c r="I356" i="20"/>
  <c r="G355" i="20"/>
  <c r="J356" i="20"/>
  <c r="K356" i="20"/>
  <c r="L98" i="18"/>
  <c r="L100" i="18"/>
  <c r="AL169" i="18" l="1"/>
  <c r="AL168" i="18" s="1"/>
  <c r="AM170" i="18"/>
  <c r="J355" i="20"/>
  <c r="I355" i="20"/>
  <c r="G354" i="20"/>
  <c r="K355" i="20"/>
  <c r="W174" i="18"/>
  <c r="W173" i="18"/>
  <c r="D303" i="20"/>
  <c r="D302" i="20"/>
  <c r="W172" i="18"/>
  <c r="AL167" i="18" l="1"/>
  <c r="AM168" i="18"/>
  <c r="AM169" i="18"/>
  <c r="K354" i="20"/>
  <c r="J354" i="20"/>
  <c r="G353" i="20"/>
  <c r="I354" i="20"/>
  <c r="D301" i="20"/>
  <c r="D300" i="20"/>
  <c r="D299" i="20"/>
  <c r="AM167" i="18" l="1"/>
  <c r="AL166" i="18"/>
  <c r="I353" i="20"/>
  <c r="G352" i="20"/>
  <c r="J353" i="20"/>
  <c r="K353" i="20"/>
  <c r="Z15" i="52"/>
  <c r="AD15" i="52"/>
  <c r="AE15" i="52"/>
  <c r="P27" i="18"/>
  <c r="P26" i="18"/>
  <c r="P23" i="18"/>
  <c r="P21" i="18"/>
  <c r="D298" i="20"/>
  <c r="AM166" i="18" l="1"/>
  <c r="AL165" i="18"/>
  <c r="I352" i="20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AM165" i="18" l="1"/>
  <c r="AL164" i="18"/>
  <c r="G350" i="20"/>
  <c r="J351" i="20"/>
  <c r="K351" i="20"/>
  <c r="I351" i="20"/>
  <c r="W170" i="18"/>
  <c r="AL163" i="18" l="1"/>
  <c r="AM164" i="18"/>
  <c r="I350" i="20"/>
  <c r="J350" i="20"/>
  <c r="K350" i="20"/>
  <c r="G349" i="20"/>
  <c r="AD14" i="52"/>
  <c r="AE14" i="52"/>
  <c r="AD13" i="52"/>
  <c r="AE13" i="52"/>
  <c r="Z14" i="52"/>
  <c r="D296" i="20"/>
  <c r="D295" i="20"/>
  <c r="AM163" i="18" l="1"/>
  <c r="AL162" i="18"/>
  <c r="K349" i="20"/>
  <c r="I349" i="20"/>
  <c r="J349" i="20"/>
  <c r="G348" i="20"/>
  <c r="W169" i="18"/>
  <c r="W168" i="18"/>
  <c r="L11" i="52"/>
  <c r="L10" i="52"/>
  <c r="AL225" i="18"/>
  <c r="AL224" i="18" s="1"/>
  <c r="AL223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L161" i="18" l="1"/>
  <c r="AM162" i="18"/>
  <c r="I348" i="20"/>
  <c r="G347" i="20"/>
  <c r="J348" i="20"/>
  <c r="K348" i="20"/>
  <c r="AM226" i="18"/>
  <c r="AM225" i="18"/>
  <c r="AM224" i="18"/>
  <c r="W167" i="18"/>
  <c r="W166" i="18"/>
  <c r="AM161" i="18" l="1"/>
  <c r="AL160" i="18"/>
  <c r="G346" i="20"/>
  <c r="J347" i="20"/>
  <c r="I347" i="20"/>
  <c r="K347" i="20"/>
  <c r="D293" i="20"/>
  <c r="AL159" i="18" l="1"/>
  <c r="AM160" i="18"/>
  <c r="K346" i="20"/>
  <c r="G345" i="20"/>
  <c r="J346" i="20"/>
  <c r="I346" i="20"/>
  <c r="W165" i="18"/>
  <c r="AM159" i="18" l="1"/>
  <c r="AL158" i="18"/>
  <c r="K345" i="20"/>
  <c r="G344" i="20"/>
  <c r="J345" i="20"/>
  <c r="I345" i="20"/>
  <c r="D292" i="20"/>
  <c r="C8" i="36"/>
  <c r="W164" i="18"/>
  <c r="N5" i="52"/>
  <c r="AM158" i="18" l="1"/>
  <c r="AL157" i="18"/>
  <c r="I344" i="20"/>
  <c r="K344" i="20"/>
  <c r="G343" i="20"/>
  <c r="J344" i="20"/>
  <c r="N40" i="18"/>
  <c r="D291" i="20"/>
  <c r="M101" i="18" l="1"/>
  <c r="AL156" i="18"/>
  <c r="AM157" i="18"/>
  <c r="G342" i="20"/>
  <c r="J343" i="20"/>
  <c r="I343" i="20"/>
  <c r="K343" i="20"/>
  <c r="D290" i="20"/>
  <c r="AL155" i="18" l="1"/>
  <c r="AM156" i="18"/>
  <c r="I342" i="20"/>
  <c r="K342" i="20"/>
  <c r="J342" i="20"/>
  <c r="G341" i="20"/>
  <c r="D289" i="20"/>
  <c r="AL154" i="18" l="1"/>
  <c r="AM155" i="18"/>
  <c r="K341" i="20"/>
  <c r="G340" i="20"/>
  <c r="I341" i="20"/>
  <c r="J341" i="20"/>
  <c r="N26" i="18"/>
  <c r="AL222" i="18"/>
  <c r="AL221" i="18" s="1"/>
  <c r="D288" i="20"/>
  <c r="AL153" i="18" l="1"/>
  <c r="AM154" i="18"/>
  <c r="I340" i="20"/>
  <c r="K340" i="20"/>
  <c r="G339" i="20"/>
  <c r="J340" i="20"/>
  <c r="AM223" i="18"/>
  <c r="AM222" i="18"/>
  <c r="AD4" i="52"/>
  <c r="AL152" i="18" l="1"/>
  <c r="AM153" i="18"/>
  <c r="I339" i="20"/>
  <c r="G338" i="20"/>
  <c r="J339" i="20"/>
  <c r="K339" i="20"/>
  <c r="D287" i="20"/>
  <c r="D286" i="20"/>
  <c r="F15" i="52"/>
  <c r="AL151" i="18" l="1"/>
  <c r="AM152" i="18"/>
  <c r="G337" i="20"/>
  <c r="J338" i="20"/>
  <c r="K338" i="20"/>
  <c r="I338" i="20"/>
  <c r="AB3" i="49"/>
  <c r="AB4" i="49"/>
  <c r="AB5" i="49"/>
  <c r="AL150" i="18" l="1"/>
  <c r="AM151" i="18"/>
  <c r="J337" i="20"/>
  <c r="K337" i="20"/>
  <c r="I337" i="20"/>
  <c r="G336" i="20"/>
  <c r="D285" i="20"/>
  <c r="W163" i="18"/>
  <c r="AM150" i="18" l="1"/>
  <c r="AL149" i="18"/>
  <c r="J336" i="20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AL148" i="18" l="1"/>
  <c r="AM149" i="18"/>
  <c r="K335" i="20"/>
  <c r="I335" i="20"/>
  <c r="G334" i="20"/>
  <c r="J335" i="20"/>
  <c r="M69" i="18"/>
  <c r="AL147" i="18" l="1"/>
  <c r="AM148" i="18"/>
  <c r="I334" i="20"/>
  <c r="G333" i="20"/>
  <c r="K334" i="20"/>
  <c r="J334" i="20"/>
  <c r="D283" i="20"/>
  <c r="AM147" i="18" l="1"/>
  <c r="AL146" i="18"/>
  <c r="J333" i="20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AM146" i="18" l="1"/>
  <c r="AL145" i="18"/>
  <c r="F261" i="15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4" i="18"/>
  <c r="AL144" i="18" l="1"/>
  <c r="AM145" i="18"/>
  <c r="K331" i="20"/>
  <c r="G330" i="20"/>
  <c r="I331" i="20"/>
  <c r="J331" i="20"/>
  <c r="D281" i="20"/>
  <c r="AL143" i="18" l="1"/>
  <c r="AM144" i="18"/>
  <c r="K330" i="20"/>
  <c r="I330" i="20"/>
  <c r="J330" i="20"/>
  <c r="G329" i="20"/>
  <c r="D280" i="20"/>
  <c r="AL142" i="18" l="1"/>
  <c r="AM143" i="18"/>
  <c r="K329" i="20"/>
  <c r="I329" i="20"/>
  <c r="J329" i="20"/>
  <c r="G328" i="20"/>
  <c r="AD5" i="52"/>
  <c r="D279" i="20"/>
  <c r="AL141" i="18" l="1"/>
  <c r="AM142" i="18"/>
  <c r="K328" i="20"/>
  <c r="J328" i="20"/>
  <c r="G327" i="20"/>
  <c r="I328" i="20"/>
  <c r="W139" i="18"/>
  <c r="W162" i="18"/>
  <c r="D278" i="20"/>
  <c r="AL140" i="18" l="1"/>
  <c r="AM141" i="18"/>
  <c r="J327" i="20"/>
  <c r="K327" i="20"/>
  <c r="G326" i="20"/>
  <c r="I327" i="20"/>
  <c r="W140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AL139" i="18" l="1"/>
  <c r="AM140" i="18"/>
  <c r="J326" i="20"/>
  <c r="K326" i="20"/>
  <c r="G325" i="20"/>
  <c r="I326" i="20"/>
  <c r="F260" i="15"/>
  <c r="S134" i="18"/>
  <c r="AL138" i="18" l="1"/>
  <c r="AM139" i="18"/>
  <c r="I325" i="20"/>
  <c r="K325" i="20"/>
  <c r="J325" i="20"/>
  <c r="G324" i="20"/>
  <c r="S133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AL137" i="18" l="1"/>
  <c r="AM138" i="18"/>
  <c r="K324" i="20"/>
  <c r="I324" i="20"/>
  <c r="G323" i="20"/>
  <c r="J324" i="20"/>
  <c r="D272" i="20"/>
  <c r="AL136" i="18" l="1"/>
  <c r="AM136" i="18" s="1"/>
  <c r="AM137" i="18"/>
  <c r="I323" i="20"/>
  <c r="K323" i="20"/>
  <c r="G322" i="20"/>
  <c r="J323" i="20"/>
  <c r="D271" i="20"/>
  <c r="I322" i="20" l="1"/>
  <c r="J322" i="20"/>
  <c r="K322" i="20"/>
  <c r="G321" i="20"/>
  <c r="D270" i="20"/>
  <c r="G320" i="20" l="1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2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1" i="18"/>
  <c r="N112" i="18"/>
  <c r="N113" i="18"/>
  <c r="N114" i="18"/>
  <c r="N115" i="18"/>
  <c r="N116" i="18"/>
  <c r="N117" i="18"/>
  <c r="N118" i="18"/>
  <c r="N110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1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0" i="18"/>
  <c r="AM124" i="18" l="1"/>
  <c r="AL123" i="18"/>
  <c r="AM123" i="18" l="1"/>
  <c r="AL122" i="18"/>
  <c r="AL121" i="18" l="1"/>
  <c r="AM122" i="18"/>
  <c r="W154" i="18"/>
  <c r="W155" i="18"/>
  <c r="W156" i="18"/>
  <c r="W157" i="18"/>
  <c r="W158" i="18"/>
  <c r="W159" i="18"/>
  <c r="W171" i="18"/>
  <c r="W153" i="18"/>
  <c r="AM121" i="18" l="1"/>
  <c r="AL120" i="18"/>
  <c r="N44" i="18"/>
  <c r="AM120" i="18" l="1"/>
  <c r="AL119" i="18"/>
  <c r="AM119" i="18" l="1"/>
  <c r="AL118" i="18"/>
  <c r="T137" i="18"/>
  <c r="S57" i="18"/>
  <c r="S58" i="18" s="1"/>
  <c r="S59" i="18" s="1"/>
  <c r="R158" i="18"/>
  <c r="R156" i="18"/>
  <c r="D57" i="51"/>
  <c r="AL117" i="18" l="1"/>
  <c r="AM118" i="18"/>
  <c r="S60" i="18"/>
  <c r="S61" i="18" s="1"/>
  <c r="AM117" i="18" l="1"/>
  <c r="AL116" i="18"/>
  <c r="S62" i="18"/>
  <c r="S63" i="18" s="1"/>
  <c r="S64" i="18" s="1"/>
  <c r="N27" i="18"/>
  <c r="Q73" i="18" s="1"/>
  <c r="R155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5" i="18" l="1"/>
  <c r="S66" i="18" s="1"/>
  <c r="AL113" i="18"/>
  <c r="AM114" i="18"/>
  <c r="S20" i="18"/>
  <c r="S21" i="18" s="1"/>
  <c r="S67" i="18" l="1"/>
  <c r="S68" i="18" s="1"/>
  <c r="S69" i="18" s="1"/>
  <c r="AL112" i="18"/>
  <c r="AM113" i="18"/>
  <c r="N42" i="18"/>
  <c r="M100" i="18" s="1"/>
  <c r="S70" i="18" l="1"/>
  <c r="S71" i="18" s="1"/>
  <c r="N100" i="18"/>
  <c r="AM112" i="18"/>
  <c r="AL111" i="18"/>
  <c r="D108" i="50"/>
  <c r="AL110" i="18" l="1"/>
  <c r="AM111" i="18"/>
  <c r="N41" i="18"/>
  <c r="AL109" i="18" l="1"/>
  <c r="AM110" i="18"/>
  <c r="N99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1" i="18" l="1"/>
  <c r="AL104" i="18"/>
  <c r="AM105" i="18"/>
  <c r="AL220" i="18"/>
  <c r="AM221" i="18"/>
  <c r="AL103" i="18" l="1"/>
  <c r="AM104" i="18"/>
  <c r="AL219" i="18"/>
  <c r="AM220" i="18"/>
  <c r="AL102" i="18" l="1"/>
  <c r="AM103" i="18"/>
  <c r="AL218" i="18"/>
  <c r="AM219" i="18"/>
  <c r="S23" i="18"/>
  <c r="S24" i="18" s="1"/>
  <c r="S25" i="18" s="1"/>
  <c r="S26" i="18" s="1"/>
  <c r="N69" i="18"/>
  <c r="AL101" i="18" l="1"/>
  <c r="AM102" i="18"/>
  <c r="AL217" i="18"/>
  <c r="AM218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17" i="18"/>
  <c r="AL216" i="18"/>
  <c r="D73" i="48"/>
  <c r="N23" i="18"/>
  <c r="M98" i="18" l="1"/>
  <c r="N98" i="18" s="1"/>
  <c r="AL99" i="18"/>
  <c r="AM100" i="18"/>
  <c r="AL215" i="18"/>
  <c r="AM216" i="18"/>
  <c r="S36" i="18" l="1"/>
  <c r="S37" i="18" s="1"/>
  <c r="S38" i="18" s="1"/>
  <c r="S39" i="18" s="1"/>
  <c r="S40" i="18" s="1"/>
  <c r="AM99" i="18"/>
  <c r="AL98" i="18"/>
  <c r="AL214" i="18"/>
  <c r="AM215" i="18"/>
  <c r="P49" i="18"/>
  <c r="AL97" i="18" l="1"/>
  <c r="AM98" i="18"/>
  <c r="AL213" i="18"/>
  <c r="AM214" i="18"/>
  <c r="S41" i="18" l="1"/>
  <c r="AM97" i="18"/>
  <c r="AL96" i="18"/>
  <c r="AL212" i="18"/>
  <c r="AM213" i="18"/>
  <c r="N23" i="33"/>
  <c r="D23" i="33" s="1"/>
  <c r="S42" i="18" l="1"/>
  <c r="S43" i="18" s="1"/>
  <c r="S44" i="18" s="1"/>
  <c r="AM96" i="18"/>
  <c r="AL95" i="18"/>
  <c r="AL211" i="18"/>
  <c r="AM21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F26" i="49"/>
  <c r="G26" i="49"/>
  <c r="AL94" i="18"/>
  <c r="AM95" i="18"/>
  <c r="AL210" i="18"/>
  <c r="AM211" i="18"/>
  <c r="N21" i="18"/>
  <c r="Q52" i="18" s="1"/>
  <c r="S48" i="18" l="1"/>
  <c r="S49" i="18" s="1"/>
  <c r="S50" i="18" s="1"/>
  <c r="R154" i="18"/>
  <c r="AJ269" i="18"/>
  <c r="AJ270" i="18" s="1"/>
  <c r="AM94" i="18"/>
  <c r="AL93" i="18"/>
  <c r="AL209" i="18"/>
  <c r="AM210" i="18"/>
  <c r="AL92" i="18" l="1"/>
  <c r="AM93" i="18"/>
  <c r="AL208" i="18"/>
  <c r="AM209" i="18"/>
  <c r="S83" i="18"/>
  <c r="S84" i="18" s="1"/>
  <c r="AL91" i="18" l="1"/>
  <c r="AM92" i="18"/>
  <c r="AM208" i="18"/>
  <c r="AL207" i="18"/>
  <c r="AL90" i="18" l="1"/>
  <c r="AM91" i="18"/>
  <c r="AL206" i="18"/>
  <c r="AM207" i="18"/>
  <c r="AM90" i="18" l="1"/>
  <c r="AL89" i="18"/>
  <c r="AM206" i="18"/>
  <c r="AL205" i="18"/>
  <c r="AL88" i="18" l="1"/>
  <c r="AM89" i="18"/>
  <c r="AM205" i="18"/>
  <c r="AL204" i="18"/>
  <c r="B8" i="36"/>
  <c r="AM88" i="18" l="1"/>
  <c r="AL87" i="18"/>
  <c r="AL203" i="18"/>
  <c r="AM204" i="18"/>
  <c r="B10" i="36"/>
  <c r="AL86" i="18" l="1"/>
  <c r="AM87" i="18"/>
  <c r="AL202" i="18"/>
  <c r="AM203" i="18"/>
  <c r="S85" i="18"/>
  <c r="S86" i="18" s="1"/>
  <c r="AL85" i="18" l="1"/>
  <c r="AM86" i="18"/>
  <c r="S87" i="18"/>
  <c r="S88" i="18" s="1"/>
  <c r="S89" i="18" s="1"/>
  <c r="S90" i="18" s="1"/>
  <c r="AL201" i="18"/>
  <c r="AM20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201" i="18"/>
  <c r="AL200" i="18"/>
  <c r="S91" i="18"/>
  <c r="S92" i="18" s="1"/>
  <c r="S9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200" i="18"/>
  <c r="AL199" i="18"/>
  <c r="AC15" i="33"/>
  <c r="AL82" i="18" l="1"/>
  <c r="AM83" i="18"/>
  <c r="AM199" i="18"/>
  <c r="AL198" i="18"/>
  <c r="N16" i="33"/>
  <c r="AL81" i="18" l="1"/>
  <c r="AM82" i="18"/>
  <c r="AM198" i="18"/>
  <c r="AL197" i="18"/>
  <c r="AM19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65" i="18" l="1"/>
  <c r="AN265" i="18" s="1"/>
  <c r="AJ268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71" i="18" l="1"/>
  <c r="AJ272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4" i="18" l="1"/>
  <c r="AL77" i="18"/>
  <c r="AM78" i="18"/>
  <c r="N49" i="18"/>
  <c r="G307" i="20" l="1"/>
  <c r="K308" i="20"/>
  <c r="J308" i="20"/>
  <c r="I308" i="20"/>
  <c r="S95" i="18"/>
  <c r="AL76" i="18"/>
  <c r="AM77" i="18"/>
  <c r="S96" i="18" l="1"/>
  <c r="S97" i="18" s="1"/>
  <c r="S98" i="18" s="1"/>
  <c r="S99" i="18" s="1"/>
  <c r="S100" i="18" s="1"/>
  <c r="S101" i="18" s="1"/>
  <c r="G306" i="20"/>
  <c r="J307" i="20"/>
  <c r="I307" i="20"/>
  <c r="K307" i="20"/>
  <c r="AL75" i="18"/>
  <c r="AM76" i="18"/>
  <c r="N43" i="18"/>
  <c r="Q129" i="18" l="1"/>
  <c r="R153" i="18"/>
  <c r="R163" i="18" s="1"/>
  <c r="T232" i="18" s="1"/>
  <c r="M97" i="18"/>
  <c r="N97" i="18" s="1"/>
  <c r="N104" i="18" s="1"/>
  <c r="AJ186" i="18"/>
  <c r="AJ187" i="18" s="1"/>
  <c r="S102" i="18"/>
  <c r="G305" i="20"/>
  <c r="I306" i="20"/>
  <c r="K306" i="20"/>
  <c r="J306" i="20"/>
  <c r="AL74" i="18"/>
  <c r="AM75" i="18"/>
  <c r="S103" i="18" l="1"/>
  <c r="S104" i="18" s="1"/>
  <c r="S105" i="18" s="1"/>
  <c r="S106" i="18" s="1"/>
  <c r="S107" i="18" s="1"/>
  <c r="V235" i="18"/>
  <c r="S142" i="18"/>
  <c r="U245" i="18"/>
  <c r="G304" i="20"/>
  <c r="I305" i="20"/>
  <c r="K305" i="20"/>
  <c r="J305" i="20"/>
  <c r="AL73" i="18"/>
  <c r="AM74" i="18"/>
  <c r="R77" i="18"/>
  <c r="V50" i="18" l="1"/>
  <c r="X50" i="18" s="1"/>
  <c r="V71" i="18"/>
  <c r="W50" i="18"/>
  <c r="V81" i="18"/>
  <c r="V49" i="18"/>
  <c r="X49" i="18" s="1"/>
  <c r="V70" i="18"/>
  <c r="V48" i="18"/>
  <c r="X48" i="18" s="1"/>
  <c r="V69" i="18"/>
  <c r="V47" i="18"/>
  <c r="V68" i="18"/>
  <c r="W68" i="18" s="1"/>
  <c r="V46" i="18"/>
  <c r="V45" i="18"/>
  <c r="V44" i="18"/>
  <c r="V43" i="18"/>
  <c r="V42" i="18"/>
  <c r="V67" i="18"/>
  <c r="S108" i="18"/>
  <c r="V41" i="18"/>
  <c r="V40" i="18"/>
  <c r="W40" i="18" s="1"/>
  <c r="V66" i="18"/>
  <c r="V39" i="18"/>
  <c r="W39" i="18" s="1"/>
  <c r="V65" i="18"/>
  <c r="V64" i="18"/>
  <c r="U142" i="18"/>
  <c r="V142" i="18" s="1"/>
  <c r="V38" i="18"/>
  <c r="V37" i="18"/>
  <c r="V36" i="18"/>
  <c r="V35" i="18"/>
  <c r="V33" i="18"/>
  <c r="W33" i="18" s="1"/>
  <c r="V34" i="18"/>
  <c r="V51" i="18"/>
  <c r="V32" i="18"/>
  <c r="X32" i="18" s="1"/>
  <c r="G303" i="20"/>
  <c r="K304" i="20"/>
  <c r="I304" i="20"/>
  <c r="J304" i="20"/>
  <c r="V245" i="18"/>
  <c r="V31" i="18"/>
  <c r="W31" i="18" s="1"/>
  <c r="V105" i="18"/>
  <c r="W105" i="18" s="1"/>
  <c r="V106" i="18"/>
  <c r="V104" i="18"/>
  <c r="V30" i="18"/>
  <c r="W30" i="18" s="1"/>
  <c r="V63" i="18"/>
  <c r="V103" i="18"/>
  <c r="V101" i="18"/>
  <c r="V100" i="18"/>
  <c r="V102" i="18"/>
  <c r="V128" i="18"/>
  <c r="V98" i="18"/>
  <c r="W98" i="18" s="1"/>
  <c r="V99" i="18"/>
  <c r="V29" i="18"/>
  <c r="W29" i="18" s="1"/>
  <c r="V62" i="18"/>
  <c r="V96" i="18"/>
  <c r="W96" i="18" s="1"/>
  <c r="V97" i="18"/>
  <c r="V94" i="18"/>
  <c r="W94" i="18" s="1"/>
  <c r="V95" i="18"/>
  <c r="V93" i="18"/>
  <c r="W93" i="18" s="1"/>
  <c r="V28" i="18"/>
  <c r="V27" i="18"/>
  <c r="W27" i="18" s="1"/>
  <c r="V61" i="18"/>
  <c r="V26" i="18"/>
  <c r="X26" i="18" s="1"/>
  <c r="V60" i="18"/>
  <c r="V72" i="18"/>
  <c r="V59" i="18"/>
  <c r="V92" i="18"/>
  <c r="V58" i="18"/>
  <c r="V91" i="18"/>
  <c r="V25" i="18"/>
  <c r="V90" i="18"/>
  <c r="V24" i="18"/>
  <c r="V22" i="18"/>
  <c r="V23" i="18"/>
  <c r="W23" i="18" s="1"/>
  <c r="V89" i="18"/>
  <c r="V88" i="18"/>
  <c r="V87" i="18"/>
  <c r="V21" i="18"/>
  <c r="V86" i="18"/>
  <c r="V84" i="18"/>
  <c r="V85" i="18"/>
  <c r="V20" i="18"/>
  <c r="V82" i="18"/>
  <c r="V83" i="18"/>
  <c r="AL72" i="18"/>
  <c r="AM73" i="18"/>
  <c r="W71" i="18" l="1"/>
  <c r="X71" i="18"/>
  <c r="W49" i="18"/>
  <c r="W70" i="18"/>
  <c r="X70" i="18"/>
  <c r="W48" i="18"/>
  <c r="W69" i="18"/>
  <c r="X69" i="18"/>
  <c r="W47" i="18"/>
  <c r="X47" i="18"/>
  <c r="X68" i="18"/>
  <c r="W46" i="18"/>
  <c r="X46" i="18"/>
  <c r="W45" i="18"/>
  <c r="X45" i="18"/>
  <c r="X42" i="18"/>
  <c r="W42" i="18"/>
  <c r="W43" i="18"/>
  <c r="X43" i="18"/>
  <c r="X44" i="18"/>
  <c r="W44" i="18"/>
  <c r="X67" i="18"/>
  <c r="W67" i="18"/>
  <c r="V107" i="18"/>
  <c r="X107" i="18" s="1"/>
  <c r="W41" i="18"/>
  <c r="X41" i="18"/>
  <c r="X40" i="18"/>
  <c r="W66" i="18"/>
  <c r="X66" i="18"/>
  <c r="X39" i="18"/>
  <c r="W64" i="18"/>
  <c r="X64" i="18"/>
  <c r="W65" i="18"/>
  <c r="X65" i="18"/>
  <c r="X38" i="18"/>
  <c r="W38" i="18"/>
  <c r="X36" i="18"/>
  <c r="W36" i="18"/>
  <c r="W37" i="18"/>
  <c r="X37" i="18"/>
  <c r="W35" i="18"/>
  <c r="X35" i="18"/>
  <c r="X33" i="18"/>
  <c r="W51" i="18"/>
  <c r="X51" i="18"/>
  <c r="W34" i="18"/>
  <c r="X34" i="18"/>
  <c r="W32" i="18"/>
  <c r="S141" i="18"/>
  <c r="G302" i="20"/>
  <c r="K303" i="20"/>
  <c r="I303" i="20"/>
  <c r="J303" i="20"/>
  <c r="X31" i="18"/>
  <c r="X105" i="18"/>
  <c r="W106" i="18"/>
  <c r="X106" i="18"/>
  <c r="X30" i="18"/>
  <c r="W104" i="18"/>
  <c r="X104" i="18"/>
  <c r="W63" i="18"/>
  <c r="X63" i="18"/>
  <c r="W103" i="18"/>
  <c r="X103" i="18"/>
  <c r="W101" i="18"/>
  <c r="X101" i="18"/>
  <c r="W100" i="18"/>
  <c r="X100" i="18"/>
  <c r="W128" i="18"/>
  <c r="X128" i="18"/>
  <c r="X102" i="18"/>
  <c r="W102" i="18"/>
  <c r="X98" i="18"/>
  <c r="W99" i="18"/>
  <c r="X99" i="18"/>
  <c r="X29" i="18"/>
  <c r="W62" i="18"/>
  <c r="X62" i="18"/>
  <c r="X96" i="18"/>
  <c r="W97" i="18"/>
  <c r="X97" i="18"/>
  <c r="X94" i="18"/>
  <c r="W95" i="18"/>
  <c r="X95" i="18"/>
  <c r="X93" i="18"/>
  <c r="W28" i="18"/>
  <c r="X28" i="18"/>
  <c r="X27" i="18"/>
  <c r="W61" i="18"/>
  <c r="X61" i="18"/>
  <c r="W26" i="18"/>
  <c r="W60" i="18"/>
  <c r="X60" i="18"/>
  <c r="W59" i="18"/>
  <c r="X59" i="18"/>
  <c r="W72" i="18"/>
  <c r="X72" i="18"/>
  <c r="S140" i="18"/>
  <c r="S139" i="18"/>
  <c r="U139" i="18" s="1"/>
  <c r="W92" i="18"/>
  <c r="X92" i="18"/>
  <c r="X58" i="18"/>
  <c r="W58" i="18"/>
  <c r="W87" i="18"/>
  <c r="X87" i="18"/>
  <c r="W90" i="18"/>
  <c r="X90" i="18"/>
  <c r="W83" i="18"/>
  <c r="X83" i="18"/>
  <c r="W88" i="18"/>
  <c r="X88" i="18"/>
  <c r="X23" i="18"/>
  <c r="W25" i="18"/>
  <c r="X25" i="18"/>
  <c r="W20" i="18"/>
  <c r="X20" i="18"/>
  <c r="W85" i="18"/>
  <c r="X85" i="18"/>
  <c r="W22" i="18"/>
  <c r="X22" i="18"/>
  <c r="X91" i="18"/>
  <c r="W91" i="18"/>
  <c r="W82" i="18"/>
  <c r="X82" i="18"/>
  <c r="W81" i="18"/>
  <c r="X81" i="18"/>
  <c r="W86" i="18"/>
  <c r="X86" i="18"/>
  <c r="W84" i="18"/>
  <c r="X84" i="18"/>
  <c r="X21" i="18"/>
  <c r="W21" i="18"/>
  <c r="W89" i="18"/>
  <c r="X89" i="18"/>
  <c r="W24" i="18"/>
  <c r="X24" i="18"/>
  <c r="AL71" i="18"/>
  <c r="AM72" i="18"/>
  <c r="W107" i="18" l="1"/>
  <c r="U141" i="18"/>
  <c r="V141" i="18" s="1"/>
  <c r="N30" i="18"/>
  <c r="L21" i="18" s="1"/>
  <c r="U140" i="18"/>
  <c r="V140" i="18" s="1"/>
  <c r="N52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8" i="18" l="1"/>
  <c r="S10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09" i="18" l="1"/>
  <c r="S110" i="18"/>
  <c r="S111" i="18" s="1"/>
  <c r="S112" i="18" s="1"/>
  <c r="W108" i="18"/>
  <c r="X10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0" i="18" l="1"/>
  <c r="X109" i="18"/>
  <c r="W109" i="18"/>
  <c r="G61" i="14"/>
  <c r="E60" i="14"/>
  <c r="I297" i="20"/>
  <c r="K297" i="20"/>
  <c r="J297" i="20"/>
  <c r="G296" i="20"/>
  <c r="AL65" i="18"/>
  <c r="AM66" i="18"/>
  <c r="W110" i="18" l="1"/>
  <c r="X110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1" i="18" l="1"/>
  <c r="E55" i="14"/>
  <c r="G56" i="14"/>
  <c r="J292" i="20"/>
  <c r="I292" i="20"/>
  <c r="G291" i="20"/>
  <c r="K292" i="20"/>
  <c r="AM61" i="18"/>
  <c r="AL60" i="18"/>
  <c r="X111" i="18" l="1"/>
  <c r="W111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3" i="18" l="1"/>
  <c r="S114" i="18" s="1"/>
  <c r="S115" i="18" s="1"/>
  <c r="S116" i="18" s="1"/>
  <c r="E51" i="14"/>
  <c r="G52" i="14"/>
  <c r="J288" i="20"/>
  <c r="K288" i="20"/>
  <c r="G287" i="20"/>
  <c r="I288" i="20"/>
  <c r="AL56" i="18"/>
  <c r="AM57" i="18"/>
  <c r="B105" i="13"/>
  <c r="B196" i="13" s="1"/>
  <c r="V112" i="18" l="1"/>
  <c r="W112" i="18" s="1"/>
  <c r="V113" i="18"/>
  <c r="W113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2" i="18" l="1"/>
  <c r="X113" i="18"/>
  <c r="E49" i="14"/>
  <c r="G50" i="14"/>
  <c r="G285" i="20"/>
  <c r="J286" i="20"/>
  <c r="I286" i="20"/>
  <c r="K286" i="20"/>
  <c r="AM55" i="18"/>
  <c r="AL54" i="18"/>
  <c r="G49" i="14" l="1"/>
  <c r="E48" i="14"/>
  <c r="V114" i="18"/>
  <c r="G284" i="20"/>
  <c r="K285" i="20"/>
  <c r="J285" i="20"/>
  <c r="I285" i="20"/>
  <c r="AL53" i="18"/>
  <c r="AM54" i="18"/>
  <c r="G48" i="14" l="1"/>
  <c r="E47" i="14"/>
  <c r="W114" i="18"/>
  <c r="X114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5" i="18"/>
  <c r="K280" i="20"/>
  <c r="G279" i="20"/>
  <c r="J280" i="20"/>
  <c r="I280" i="20"/>
  <c r="AL48" i="18"/>
  <c r="AM49" i="18"/>
  <c r="E248" i="15"/>
  <c r="G43" i="14" l="1"/>
  <c r="E42" i="14"/>
  <c r="W115" i="18"/>
  <c r="X115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7" i="18"/>
  <c r="S118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6" i="18"/>
  <c r="J268" i="20"/>
  <c r="I268" i="20"/>
  <c r="G267" i="20"/>
  <c r="K268" i="20"/>
  <c r="AL36" i="18"/>
  <c r="AM37" i="18"/>
  <c r="L57" i="33"/>
  <c r="E241" i="15"/>
  <c r="G31" i="14" l="1"/>
  <c r="E30" i="14"/>
  <c r="W116" i="18"/>
  <c r="X116" i="18"/>
  <c r="I267" i="20"/>
  <c r="K267" i="20"/>
  <c r="G266" i="20"/>
  <c r="J267" i="20"/>
  <c r="AM36" i="18"/>
  <c r="AL35" i="18"/>
  <c r="D168" i="20"/>
  <c r="E29" i="14" l="1"/>
  <c r="G30" i="14"/>
  <c r="V117" i="18"/>
  <c r="W117" i="18" s="1"/>
  <c r="J266" i="20"/>
  <c r="G265" i="20"/>
  <c r="K266" i="20"/>
  <c r="I266" i="20"/>
  <c r="AL34" i="18"/>
  <c r="AM35" i="18"/>
  <c r="E240" i="15"/>
  <c r="E239" i="15"/>
  <c r="X117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8" i="18" l="1"/>
  <c r="W118" i="18" s="1"/>
  <c r="S119" i="18"/>
  <c r="S120" i="18" s="1"/>
  <c r="S121" i="18" s="1"/>
  <c r="S122" i="18" s="1"/>
  <c r="S123" i="18" s="1"/>
  <c r="S124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3" i="18" l="1"/>
  <c r="W123" i="18" s="1"/>
  <c r="X118" i="18"/>
  <c r="V119" i="18"/>
  <c r="X119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3" i="18" l="1"/>
  <c r="S125" i="18"/>
  <c r="W119" i="18"/>
  <c r="E24" i="14"/>
  <c r="G25" i="14"/>
  <c r="J261" i="20"/>
  <c r="I261" i="20"/>
  <c r="K261" i="20"/>
  <c r="G260" i="20"/>
  <c r="D255" i="15"/>
  <c r="F256" i="15"/>
  <c r="AL29" i="18"/>
  <c r="AM30" i="18"/>
  <c r="V124" i="18" l="1"/>
  <c r="X124" i="18" s="1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W124" i="18" l="1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25" i="18" l="1"/>
  <c r="W125" i="18" s="1"/>
  <c r="S126" i="18"/>
  <c r="V120" i="18"/>
  <c r="W120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26" i="18" l="1"/>
  <c r="W126" i="18" s="1"/>
  <c r="S127" i="18"/>
  <c r="V127" i="18" s="1"/>
  <c r="X125" i="18"/>
  <c r="X120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26" i="18" l="1"/>
  <c r="W127" i="18"/>
  <c r="X127" i="18"/>
  <c r="G255" i="20"/>
  <c r="I256" i="20"/>
  <c r="J256" i="20"/>
  <c r="K256" i="20"/>
  <c r="D250" i="15"/>
  <c r="F251" i="15"/>
  <c r="AL24" i="18"/>
  <c r="AM25" i="18"/>
  <c r="E178" i="13"/>
  <c r="G179" i="13"/>
  <c r="V121" i="18" l="1"/>
  <c r="X121" i="18" s="1"/>
  <c r="G254" i="20"/>
  <c r="J255" i="20"/>
  <c r="I255" i="20"/>
  <c r="K255" i="20"/>
  <c r="D249" i="15"/>
  <c r="F250" i="15"/>
  <c r="AM24" i="18"/>
  <c r="AL23" i="18"/>
  <c r="E177" i="13"/>
  <c r="G178" i="13"/>
  <c r="W121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N200" i="41" s="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N320" i="41" s="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N370" i="41" s="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N570" i="41" s="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N775" i="41" s="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N784" i="41" s="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N850" i="41" s="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N935" i="41" s="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N1255" i="41" s="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N1330" i="41" s="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N1400" i="41" s="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N1455" i="41" s="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N2015" i="41" s="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N2175" i="41" s="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608" i="41"/>
  <c r="N611" i="41"/>
  <c r="N688" i="41"/>
  <c r="N1088" i="41"/>
  <c r="K2337" i="41"/>
  <c r="N210" i="41"/>
  <c r="N263" i="41"/>
  <c r="N328" i="41"/>
  <c r="N383" i="41"/>
  <c r="N641" i="41"/>
  <c r="N1063" i="41"/>
  <c r="N1231" i="41"/>
  <c r="N1386" i="41"/>
  <c r="N1528" i="41"/>
  <c r="N1776" i="41"/>
  <c r="N2016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N757" i="41" s="1"/>
  <c r="L517" i="41"/>
  <c r="L1317" i="41"/>
  <c r="L917" i="41"/>
  <c r="L197" i="41"/>
  <c r="N197" i="41" s="1"/>
  <c r="L117" i="41"/>
  <c r="L2207" i="41"/>
  <c r="L1567" i="41"/>
  <c r="L1547" i="41"/>
  <c r="N1547" i="41" s="1"/>
  <c r="L1387" i="41"/>
  <c r="L1247" i="41"/>
  <c r="N1247" i="41" s="1"/>
  <c r="L307" i="41"/>
  <c r="L227" i="41"/>
  <c r="N227" i="41" s="1"/>
  <c r="L147" i="41"/>
  <c r="V122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N192" i="41" s="1"/>
  <c r="V1737" i="41"/>
  <c r="X1737" i="41" s="1"/>
  <c r="V1641" i="41"/>
  <c r="X1641" i="41" s="1"/>
  <c r="L2082" i="41"/>
  <c r="N2082" i="41" s="1"/>
  <c r="L1902" i="41"/>
  <c r="N1902" i="41" s="1"/>
  <c r="L1742" i="41"/>
  <c r="L262" i="41"/>
  <c r="N262" i="41" s="1"/>
  <c r="L42" i="41"/>
  <c r="N42" i="41" s="1"/>
  <c r="L1157" i="41"/>
  <c r="N1157" i="41" s="1"/>
  <c r="L2387" i="41"/>
  <c r="N2387" i="41" s="1"/>
  <c r="L2357" i="41"/>
  <c r="N2357" i="41" s="1"/>
  <c r="L2277" i="41"/>
  <c r="N2277" i="41" s="1"/>
  <c r="L2217" i="41"/>
  <c r="N2217" i="41" s="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N1282" i="41" s="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N1887" i="41" s="1"/>
  <c r="L1707" i="41"/>
  <c r="N1567" i="41"/>
  <c r="L1067" i="41"/>
  <c r="L2382" i="41"/>
  <c r="N2382" i="41" s="1"/>
  <c r="L1617" i="41"/>
  <c r="L1577" i="41"/>
  <c r="N1577" i="41" s="1"/>
  <c r="L1417" i="41"/>
  <c r="L882" i="41"/>
  <c r="N882" i="41" s="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N472" i="41" s="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N1397" i="41" s="1"/>
  <c r="L1357" i="41"/>
  <c r="L292" i="41"/>
  <c r="N292" i="41" s="1"/>
  <c r="L212" i="41"/>
  <c r="V1238" i="41"/>
  <c r="X1238" i="41" s="1"/>
  <c r="V950" i="41"/>
  <c r="X950" i="41" s="1"/>
  <c r="L1692" i="41"/>
  <c r="N1692" i="41" s="1"/>
  <c r="L2" i="41"/>
  <c r="N2" i="41" s="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N2252" i="41" s="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37" i="41" s="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N1352" i="41" s="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N1722" i="41" s="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N2337" i="41" s="1"/>
  <c r="L2307" i="41"/>
  <c r="N2307" i="41" s="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67" i="41" s="1"/>
  <c r="N1252" i="41"/>
  <c r="N1232" i="41"/>
  <c r="L1142" i="41"/>
  <c r="N1142" i="41" s="1"/>
  <c r="L977" i="41"/>
  <c r="L902" i="41"/>
  <c r="N902" i="41" s="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517" i="41" s="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782" i="41" s="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47" i="41"/>
  <c r="L1307" i="41"/>
  <c r="N1307" i="41" s="1"/>
  <c r="L1287" i="41"/>
  <c r="N1287" i="41" s="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112" i="41"/>
  <c r="N1062" i="41"/>
  <c r="L987" i="41"/>
  <c r="N987" i="41" s="1"/>
  <c r="N877" i="41"/>
  <c r="N787" i="41"/>
  <c r="L667" i="41"/>
  <c r="N667" i="41" s="1"/>
  <c r="N622" i="41"/>
  <c r="N482" i="41"/>
  <c r="N467" i="41"/>
  <c r="N422" i="41"/>
  <c r="N402" i="41"/>
  <c r="L347" i="41"/>
  <c r="N347" i="41" s="1"/>
  <c r="N162" i="41"/>
  <c r="N147" i="41"/>
  <c r="L27" i="41"/>
  <c r="N27" i="41" s="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977" i="41"/>
  <c r="N91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80" i="18"/>
  <c r="G250" i="20"/>
  <c r="I251" i="20"/>
  <c r="J251" i="20"/>
  <c r="K251" i="20"/>
  <c r="F246" i="15"/>
  <c r="D245" i="15"/>
  <c r="E173" i="13"/>
  <c r="G174" i="13"/>
  <c r="X122" i="18" l="1"/>
  <c r="W122" i="18"/>
  <c r="U2123" i="41"/>
  <c r="V2123" i="41" s="1"/>
  <c r="X2123" i="41" s="1"/>
  <c r="G249" i="20"/>
  <c r="J250" i="20"/>
  <c r="K250" i="20"/>
  <c r="I250" i="20"/>
  <c r="F245" i="15"/>
  <c r="D244" i="15"/>
  <c r="AN180" i="18"/>
  <c r="AJ185" i="18" s="1"/>
  <c r="E172" i="13"/>
  <c r="G173" i="13"/>
  <c r="D62" i="38"/>
  <c r="AJ189" i="18" l="1"/>
  <c r="J249" i="20"/>
  <c r="I249" i="20"/>
  <c r="K249" i="20"/>
  <c r="G248" i="20"/>
  <c r="F244" i="15"/>
  <c r="D243" i="15"/>
  <c r="AJ188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55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56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55" i="18" l="1"/>
  <c r="F24" i="18" s="1"/>
  <c r="G113" i="20"/>
  <c r="J114" i="20"/>
  <c r="I114" i="20"/>
  <c r="K114" i="20"/>
  <c r="L56" i="18"/>
  <c r="E33" i="13"/>
  <c r="G34" i="13"/>
  <c r="F108" i="15"/>
  <c r="C20" i="18"/>
  <c r="G20" i="14"/>
  <c r="G21" i="14"/>
  <c r="G112" i="20" l="1"/>
  <c r="K113" i="20"/>
  <c r="J113" i="20"/>
  <c r="I113" i="20"/>
  <c r="L57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I16" i="7" s="1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<sst xmlns="http://schemas.openxmlformats.org/spreadsheetml/2006/main" count="11852" uniqueCount="5082">
  <si>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</si>
  <si>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</si>
  <si>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</si>
  <si>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</si>
  <si>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</si>
  <si>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</si>
  <si>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</si>
  <si>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</si>
  <si>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</si>
  <si>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</si>
  <si>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</si>
  <si>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</si>
  <si>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</si>
  <si>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</si>
  <si>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</si>
  <si>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</si>
  <si>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</si>
  <si>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</si>
  <si>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</si>
  <si>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</si>
  <si>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</si>
  <si>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</si>
  <si>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</si>
  <si>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</si>
  <si>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</si>
  <si>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</si>
  <si>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</si>
  <si>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</si>
  <si>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</si>
  <si>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</si>
  <si>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</si>
  <si>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</si>
  <si>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</si>
  <si>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</si>
  <si>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</si>
  <si>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</si>
  <si>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</si>
  <si>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</si>
  <si>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</si>
  <si>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</si>
  <si>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</si>
  <si>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</si>
  <si>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</si>
  <si>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</si>
  <si>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</si>
  <si>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</si>
  <si>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</si>
  <si>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</si>
  <si>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</si>
  <si>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</si>
  <si>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</si>
  <si>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</si>
  <si>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</si>
  <si>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</si>
  <si>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</si>
  <si>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</si>
  <si>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</si>
  <si>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</si>
  <si>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</si>
  <si>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</si>
  <si>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</si>
  <si>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</si>
  <si>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</si>
  <si>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</si>
  <si>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</si>
  <si>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</si>
  <si>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</si>
  <si>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</si>
  <si>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</si>
  <si>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</si>
  <si>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</si>
  <si>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</si>
  <si>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</si>
  <si>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</si>
  <si>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</si>
  <si>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</si>
  <si>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</si>
  <si>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</si>
  <si>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</si>
  <si>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</si>
  <si>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</si>
  <si>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</si>
  <si>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</si>
  <si>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</si>
  <si>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</si>
  <si>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</si>
  <si>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</si>
  <si>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</si>
  <si>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</si>
  <si>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</si>
  <si>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</si>
  <si>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</si>
  <si>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</si>
  <si>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</si>
  <si>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</si>
  <si>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</si>
  <si>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</si>
  <si>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</si>
  <si>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</si>
  <si>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</si>
  <si>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</si>
  <si>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</si>
  <si>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</si>
  <si>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</si>
  <si>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</si>
  <si>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</si>
  <si>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</si>
  <si>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</si>
  <si>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</si>
  <si>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</si>
  <si>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</si>
  <si>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</si>
  <si>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</si>
  <si>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</si>
  <si>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</si>
  <si>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</si>
  <si>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</si>
  <si>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</si>
  <si>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</si>
  <si>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</si>
  <si>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</si>
  <si>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</si>
  <si>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</si>
  <si>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</si>
  <si>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</si>
  <si>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</si>
  <si>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</si>
  <si>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</si>
  <si>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</si>
  <si>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</si>
  <si>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</si>
  <si>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</si>
  <si>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</si>
  <si>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</si>
  <si>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</si>
  <si>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</si>
  <si>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</si>
  <si>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</si>
  <si>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</si>
  <si>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</si>
  <si>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</si>
  <si>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</si>
  <si>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</si>
  <si>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</si>
  <si>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</si>
  <si>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</si>
  <si>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</si>
  <si>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</si>
  <si>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</si>
  <si>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</si>
  <si>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</si>
  <si>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</si>
  <si>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</si>
  <si>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</si>
  <si>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</si>
  <si>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</si>
  <si>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</si>
  <si>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</si>
  <si>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</si>
  <si>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</si>
  <si>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</si>
  <si>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</si>
  <si>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</si>
  <si>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</si>
  <si>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</si>
  <si>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</si>
  <si>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</si>
  <si>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</si>
  <si>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</si>
  <si>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</si>
  <si>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</si>
  <si>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</si>
  <si>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</si>
  <si>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</si>
  <si>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</si>
  <si>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</si>
  <si>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</si>
  <si>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</si>
  <si>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</si>
  <si>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</si>
  <si>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</si>
  <si>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</si>
  <si>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</si>
  <si>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</si>
  <si>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</si>
  <si>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</si>
  <si>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</si>
  <si>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</si>
  <si>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</si>
  <si>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</si>
  <si>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</si>
  <si>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</si>
  <si>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</si>
  <si>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</si>
  <si>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</si>
  <si>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</si>
  <si>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</si>
  <si>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</si>
  <si>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</si>
  <si>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</si>
  <si>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</si>
  <si>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</si>
  <si>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</si>
  <si>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</si>
  <si>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</si>
  <si>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</si>
  <si>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</si>
  <si>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</si>
  <si>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</si>
  <si>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</si>
  <si>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</si>
  <si>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</si>
  <si>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</si>
  <si>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</si>
  <si>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</si>
  <si>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</si>
  <si>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</si>
  <si>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</si>
  <si>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</si>
  <si>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</si>
  <si>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</si>
  <si>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</si>
  <si>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</si>
  <si>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</si>
  <si>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</si>
  <si>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</si>
  <si>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</si>
  <si>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</si>
  <si>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</si>
  <si>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</si>
  <si>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</si>
  <si>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</si>
  <si>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</si>
  <si>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</si>
  <si>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</si>
  <si>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</si>
  <si>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</si>
  <si>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</si>
  <si>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</si>
  <si>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</si>
  <si>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</si>
  <si>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</si>
  <si>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</si>
  <si>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</si>
  <si>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</si>
  <si>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</si>
  <si>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</si>
  <si>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</si>
  <si>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</si>
  <si>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</si>
  <si>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</si>
  <si>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</si>
  <si>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</si>
  <si>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</si>
  <si>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</si>
  <si>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</si>
  <si>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</si>
  <si>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</si>
  <si>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</si>
  <si>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</si>
  <si>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</si>
  <si>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</si>
  <si>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</si>
  <si>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</si>
  <si>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</si>
  <si>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</si>
  <si>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</si>
  <si>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</si>
  <si>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</si>
  <si>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</si>
  <si>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</si>
  <si>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</si>
  <si>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</si>
  <si>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</si>
  <si>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</si>
  <si>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</si>
  <si>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</si>
  <si>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</si>
  <si>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</si>
  <si>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</si>
  <si>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</si>
  <si>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</si>
  <si>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</si>
  <si>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</si>
  <si>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</si>
  <si>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</si>
  <si>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</si>
  <si>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</si>
  <si>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</si>
  <si>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</si>
  <si>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</si>
  <si>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</si>
  <si>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</si>
  <si>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</si>
  <si>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</si>
  <si>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</si>
  <si>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</si>
  <si>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</si>
  <si>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</si>
  <si>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</si>
  <si>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</si>
  <si>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</si>
  <si>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</si>
  <si>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</si>
  <si>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</si>
  <si>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</si>
  <si>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</si>
  <si>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</si>
  <si>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</si>
  <si>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</si>
  <si>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</si>
  <si>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</si>
  <si>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</si>
  <si>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</si>
  <si>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</si>
  <si>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</si>
  <si>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</si>
  <si>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</si>
  <si>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</si>
  <si>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</si>
  <si>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</si>
  <si>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</si>
  <si>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</si>
  <si>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</si>
  <si>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</si>
  <si>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</si>
  <si>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</si>
  <si>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</si>
  <si>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</si>
  <si>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</si>
  <si>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</si>
  <si>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</si>
  <si>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</si>
  <si>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</si>
  <si>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</si>
  <si>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</si>
  <si>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</si>
  <si>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</si>
  <si>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</si>
  <si>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</si>
  <si>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</si>
  <si>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</si>
  <si>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</si>
  <si>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</si>
  <si>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</si>
  <si>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</si>
  <si>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</si>
  <si>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</si>
  <si>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</si>
  <si>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</si>
  <si>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</si>
  <si>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</si>
  <si>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</si>
  <si>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</si>
  <si>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</si>
  <si>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</si>
  <si>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</si>
  <si>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</si>
  <si>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</si>
  <si>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</si>
  <si>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</si>
  <si>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</si>
  <si>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</si>
  <si>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</si>
  <si>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</si>
  <si>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</si>
  <si>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</si>
  <si>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</si>
  <si>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</si>
  <si>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</si>
  <si>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</si>
  <si>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</si>
  <si>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</si>
  <si>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</si>
  <si>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</si>
  <si>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</si>
  <si>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</si>
  <si>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</si>
  <si>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</si>
  <si>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</si>
  <si>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</si>
  <si>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</si>
  <si>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</si>
  <si>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</si>
  <si>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</si>
  <si>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</si>
  <si>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</si>
  <si>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</si>
  <si>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</si>
  <si>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</si>
  <si>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</si>
  <si>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</si>
  <si>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</si>
  <si>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</si>
  <si>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</si>
  <si>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</si>
  <si>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</si>
  <si>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</si>
  <si>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</si>
  <si>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</si>
  <si>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</si>
  <si>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</si>
  <si>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</si>
  <si>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</si>
  <si>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</si>
  <si>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</si>
  <si>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</si>
  <si>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</si>
  <si>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</si>
  <si>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</si>
  <si>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</si>
  <si>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</si>
  <si>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</si>
  <si>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</si>
  <si>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</si>
  <si>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</si>
  <si>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</si>
  <si>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</si>
  <si>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</si>
  <si>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</si>
  <si>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</si>
  <si>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</si>
  <si>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</si>
  <si>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</si>
  <si>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</si>
  <si>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</si>
  <si>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</si>
  <si>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</si>
  <si>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</si>
  <si>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</si>
  <si>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</si>
  <si>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</si>
  <si>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</si>
  <si>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</si>
  <si>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</si>
  <si>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</si>
  <si>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</si>
  <si>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</si>
  <si>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</si>
  <si>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</si>
  <si>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</si>
  <si>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</si>
  <si>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</si>
  <si>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</si>
  <si>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</si>
  <si>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</si>
  <si>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</si>
  <si>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</si>
  <si>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</si>
  <si>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</si>
  <si>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</si>
  <si>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</si>
  <si>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</si>
  <si>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</si>
  <si>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</si>
  <si>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</si>
  <si>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</si>
  <si>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</si>
  <si>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</si>
  <si>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</si>
  <si>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</si>
  <si>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</si>
  <si>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</si>
  <si>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</si>
  <si>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</si>
  <si>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</si>
  <si>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</si>
  <si>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</si>
  <si>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</si>
  <si>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</si>
  <si>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</si>
  <si>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</si>
  <si>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</si>
  <si>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</si>
  <si>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</si>
  <si>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</si>
  <si>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</si>
  <si>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</si>
  <si>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</si>
  <si>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</si>
  <si>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</si>
  <si>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</si>
  <si>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</si>
  <si>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</si>
  <si>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</si>
  <si>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</si>
  <si>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</si>
  <si>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</si>
  <si>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</si>
  <si>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</si>
  <si>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</si>
  <si>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</si>
  <si>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</si>
  <si>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</si>
  <si>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</si>
  <si>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</si>
  <si>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</si>
  <si>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</si>
  <si>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</si>
  <si>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</si>
  <si>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</si>
  <si>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</si>
  <si>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</si>
  <si>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</si>
  <si>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</si>
  <si>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</si>
  <si>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</si>
  <si>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</si>
  <si>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</si>
  <si>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</si>
  <si>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</si>
  <si>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</si>
  <si>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</si>
  <si>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</si>
  <si>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</si>
  <si>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</si>
  <si>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</si>
  <si>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</si>
  <si>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</si>
  <si>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</si>
  <si>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</si>
  <si>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</si>
  <si>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</si>
  <si>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</si>
  <si>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</si>
  <si>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</si>
  <si>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</si>
  <si>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</si>
  <si>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</si>
  <si>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</si>
  <si>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</si>
  <si>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</si>
  <si>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</si>
  <si>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</si>
  <si>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</si>
  <si>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</si>
  <si>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</si>
  <si>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</si>
  <si>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</si>
  <si>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</si>
  <si>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</si>
  <si>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</si>
  <si>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</si>
  <si>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</si>
  <si>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</si>
  <si>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</si>
  <si>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</si>
  <si>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</si>
  <si>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</si>
  <si>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</si>
  <si>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</si>
  <si>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</si>
  <si>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</si>
  <si>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</si>
  <si>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</si>
  <si>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</si>
  <si>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</si>
  <si>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</si>
  <si>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</si>
  <si>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</si>
  <si>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</si>
  <si>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</si>
  <si>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</si>
  <si>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</si>
  <si>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</si>
  <si>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</si>
  <si>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</si>
  <si>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</si>
  <si>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</si>
  <si>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</si>
  <si>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</si>
  <si>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</si>
  <si>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</si>
  <si>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</si>
  <si>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</si>
  <si>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</si>
  <si>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</si>
  <si>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</si>
  <si>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</si>
  <si>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</si>
  <si>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</si>
  <si>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</si>
  <si>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</si>
  <si>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</si>
  <si>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</si>
  <si>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</si>
  <si>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</si>
  <si>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</si>
  <si>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</si>
  <si>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</si>
  <si>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</si>
  <si>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</si>
  <si>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</si>
  <si>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</si>
  <si>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</si>
  <si>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</si>
  <si>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</si>
  <si>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</si>
  <si>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</si>
  <si>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</si>
  <si>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</si>
  <si>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</si>
  <si>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</si>
  <si>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</si>
  <si>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</si>
  <si>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</si>
  <si>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</si>
  <si>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</si>
  <si>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</si>
  <si>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</si>
  <si>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</si>
  <si>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</si>
  <si>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</si>
  <si>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</si>
  <si>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</si>
  <si>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</si>
  <si>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</si>
  <si>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</si>
  <si>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</si>
  <si>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</si>
  <si>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</si>
  <si>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</si>
  <si>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</si>
  <si>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</si>
  <si>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</si>
  <si>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</si>
  <si>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</si>
  <si>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</si>
  <si>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</si>
  <si>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</si>
  <si>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</si>
  <si>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</si>
  <si>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</si>
  <si>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</si>
  <si>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</si>
  <si>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</si>
  <si>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</si>
  <si>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</si>
  <si>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</si>
  <si>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</si>
  <si>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</si>
  <si>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</si>
  <si>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</si>
  <si>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</si>
  <si>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</si>
  <si>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</si>
  <si>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</si>
  <si>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</si>
  <si>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</si>
  <si>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</si>
  <si>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</si>
  <si>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</si>
  <si>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</si>
  <si>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</si>
  <si>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</si>
  <si>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</si>
  <si>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</si>
  <si>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</si>
  <si>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</si>
  <si>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</si>
  <si>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</si>
  <si>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</si>
  <si>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</si>
  <si>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</si>
  <si>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</si>
  <si>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</si>
  <si>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</si>
  <si>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</si>
  <si>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</si>
  <si>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</si>
  <si>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</si>
  <si>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</si>
  <si>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</si>
  <si>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</si>
  <si>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</si>
  <si>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</si>
  <si>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</si>
  <si>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</si>
  <si>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</si>
  <si>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</si>
  <si>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</si>
  <si>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</si>
  <si>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</si>
  <si>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</si>
  <si>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</si>
  <si>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</si>
  <si>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</si>
  <si>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</si>
  <si>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</si>
  <si>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</si>
  <si>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</si>
  <si>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</si>
  <si>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</si>
  <si>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</si>
  <si>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</si>
  <si>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</si>
  <si>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</si>
  <si>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</si>
  <si>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</si>
  <si>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</si>
  <si>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</si>
  <si>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</si>
  <si>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</si>
  <si>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</si>
  <si>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</si>
  <si>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</si>
  <si>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</si>
  <si>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</si>
  <si>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</si>
  <si>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</si>
  <si>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</si>
  <si>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</si>
  <si>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</si>
  <si>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</si>
  <si>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</si>
  <si>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</si>
  <si>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</si>
  <si>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</si>
  <si>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</si>
  <si>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</si>
  <si>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</si>
  <si>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</si>
  <si>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</si>
  <si>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</si>
  <si>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</si>
  <si>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</si>
  <si>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</si>
  <si>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</si>
  <si>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</si>
  <si>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</si>
  <si>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</si>
  <si>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</si>
  <si>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</si>
  <si>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</si>
  <si>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</si>
  <si>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</si>
  <si>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</si>
  <si>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</si>
  <si>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</si>
  <si>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</si>
  <si>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</si>
  <si>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</si>
  <si>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</si>
  <si>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</si>
  <si>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</si>
  <si>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</si>
  <si>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</si>
  <si>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</si>
  <si>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</si>
  <si>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</si>
  <si>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</si>
  <si>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</si>
  <si>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</si>
  <si>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</si>
  <si>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</si>
  <si>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</si>
  <si>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</si>
  <si>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</si>
  <si>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</si>
  <si>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</si>
  <si>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</si>
  <si>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</si>
  <si>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</si>
  <si>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</si>
  <si>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</si>
  <si>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</si>
  <si>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</si>
  <si>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</si>
  <si>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</si>
  <si>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</si>
  <si>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</si>
  <si>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</si>
  <si>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</si>
  <si>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</si>
  <si>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</si>
  <si>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</si>
  <si>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</si>
  <si>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</si>
  <si>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</si>
  <si>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</si>
  <si>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</si>
  <si>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</si>
  <si>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</si>
  <si>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</si>
  <si>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</si>
  <si>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</si>
  <si>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</si>
  <si>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</si>
  <si>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</si>
  <si>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</si>
  <si>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</si>
  <si>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</si>
  <si>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</si>
  <si>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</si>
  <si>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</si>
  <si>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</si>
  <si>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</si>
  <si>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</si>
  <si>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</si>
  <si>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</si>
  <si>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</si>
  <si>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</si>
  <si>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</si>
  <si>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</si>
  <si>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</si>
  <si>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</si>
  <si>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</si>
  <si>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</si>
  <si>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</si>
  <si>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</si>
  <si>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</si>
  <si>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</si>
  <si>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</si>
  <si>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</si>
  <si>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</si>
  <si>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</si>
  <si>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</si>
  <si>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</si>
  <si>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</si>
  <si>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</si>
  <si>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</si>
  <si>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</si>
  <si>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</si>
  <si>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</si>
  <si>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</si>
  <si>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</si>
  <si>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</si>
  <si>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</si>
  <si>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</si>
  <si>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</si>
  <si>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</si>
  <si>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</si>
  <si>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</si>
  <si>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</si>
  <si>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</si>
  <si>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</si>
  <si>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</si>
  <si>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</si>
  <si>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</si>
  <si>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</si>
  <si>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</si>
  <si>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</si>
  <si>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</si>
  <si>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</si>
  <si>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</si>
  <si>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</si>
  <si>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</si>
  <si>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</si>
  <si>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</si>
  <si>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</si>
  <si>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</si>
  <si>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</si>
  <si>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</si>
  <si>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</si>
  <si>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</si>
  <si>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</si>
  <si>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</si>
  <si>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</si>
  <si>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</si>
  <si>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</si>
  <si>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</si>
  <si>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</si>
  <si>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</si>
  <si>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</si>
  <si>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</si>
  <si>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</si>
  <si>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</si>
  <si>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</si>
  <si>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</si>
  <si>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</si>
  <si>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</si>
  <si>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</si>
  <si>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</si>
  <si>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</si>
  <si>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</si>
  <si>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</si>
  <si>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</si>
  <si>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</si>
  <si>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</si>
  <si>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</si>
  <si>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</si>
  <si>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</si>
  <si>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</si>
  <si>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</si>
  <si>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</si>
  <si>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</si>
  <si>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</si>
  <si>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</si>
  <si>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</si>
  <si>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</si>
  <si>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</si>
  <si>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</si>
  <si>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</si>
  <si>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</si>
  <si>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</si>
  <si>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</si>
  <si>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</si>
  <si>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</si>
  <si>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</si>
  <si>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</si>
  <si>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</si>
  <si>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</si>
  <si>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</si>
  <si>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</si>
  <si>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</si>
  <si>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</si>
  <si>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</si>
  <si>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</si>
  <si>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</si>
  <si>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</si>
  <si>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</si>
  <si>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</si>
  <si>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</si>
  <si>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</si>
  <si>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</si>
  <si>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</si>
  <si>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</si>
  <si>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</si>
  <si>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</si>
  <si>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</si>
  <si>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</si>
  <si>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</si>
  <si>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</si>
  <si>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</si>
  <si>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</si>
  <si>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</si>
  <si>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</si>
  <si>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</si>
  <si>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</si>
  <si>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</si>
  <si>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</si>
  <si>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</si>
  <si>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</si>
  <si>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</si>
  <si>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</si>
  <si>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</si>
  <si>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</si>
  <si>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</si>
  <si>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</si>
  <si>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</si>
  <si>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</si>
  <si>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</si>
  <si>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</si>
  <si>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</si>
  <si>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</si>
  <si>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</si>
  <si>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</si>
  <si>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</si>
  <si>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</si>
  <si>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</si>
  <si>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</si>
  <si>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</si>
  <si>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</si>
  <si>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</si>
  <si>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</si>
  <si>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</si>
  <si>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</si>
  <si>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</si>
  <si>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</si>
  <si>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</si>
  <si>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</si>
  <si>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</si>
  <si>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</si>
  <si>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</si>
  <si>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</si>
  <si>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</si>
  <si>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</si>
  <si>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</si>
  <si>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</si>
  <si>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</si>
  <si>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</si>
  <si>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</si>
  <si>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</si>
  <si>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</si>
  <si>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</si>
  <si>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</si>
  <si>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</si>
  <si>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</si>
  <si>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</si>
  <si>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</si>
  <si>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</si>
  <si>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</si>
  <si>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</si>
  <si>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</si>
  <si>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</si>
  <si>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</si>
  <si>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</si>
  <si>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</si>
  <si>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</si>
  <si>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</si>
  <si>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</si>
  <si>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</si>
  <si>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</si>
  <si>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</si>
  <si>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</si>
  <si>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</si>
  <si>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</si>
  <si>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</si>
  <si>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</si>
  <si>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</si>
  <si>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</si>
  <si>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</si>
  <si>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</si>
  <si>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</si>
  <si>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</si>
  <si>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</si>
  <si>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</si>
  <si>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</si>
  <si>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</si>
  <si>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</si>
  <si>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</si>
  <si>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</si>
  <si>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</si>
  <si>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</si>
  <si>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</si>
  <si>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</si>
  <si>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</si>
  <si>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</si>
  <si>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</si>
  <si>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</si>
  <si>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</si>
  <si>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</si>
  <si>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</si>
  <si>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</si>
  <si>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</si>
  <si>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</si>
  <si>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</si>
  <si>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</si>
  <si>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</si>
  <si>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</si>
  <si>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</si>
  <si>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</si>
  <si>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</si>
  <si>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</si>
  <si>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</si>
  <si>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</si>
  <si>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</si>
  <si>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</si>
  <si>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</si>
  <si>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</si>
  <si>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</si>
  <si>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</si>
  <si>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</si>
  <si>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</si>
  <si>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</si>
  <si>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</si>
  <si>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</si>
  <si>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</si>
  <si>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</si>
  <si>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</si>
  <si>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</si>
  <si>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</si>
  <si>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</si>
  <si>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</si>
  <si>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</si>
  <si>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</si>
  <si>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</si>
  <si>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</si>
  <si>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</si>
  <si>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</si>
  <si>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</si>
  <si>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</si>
  <si>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</si>
  <si>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</si>
  <si>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</si>
  <si>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</si>
  <si>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</si>
  <si>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</si>
  <si>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</si>
  <si>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</si>
  <si>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</si>
  <si>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</si>
  <si>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</si>
  <si>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</si>
  <si>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</si>
  <si>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</si>
  <si>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</si>
  <si>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</si>
  <si>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</si>
  <si>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</si>
  <si>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</si>
  <si>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</si>
  <si>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</si>
  <si>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</si>
  <si>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</si>
  <si>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</si>
  <si>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</si>
  <si>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</si>
  <si>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</si>
  <si>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</si>
  <si>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</si>
  <si>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</si>
  <si>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</si>
  <si>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</si>
  <si>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</si>
  <si>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</si>
  <si>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</si>
  <si>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</si>
  <si>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</si>
  <si>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</si>
  <si>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</si>
  <si>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</si>
  <si>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</si>
  <si>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</si>
  <si>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</si>
  <si>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</si>
  <si>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</si>
  <si>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</si>
  <si>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</si>
  <si>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</si>
  <si>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</si>
  <si>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</si>
  <si>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</si>
  <si>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</si>
  <si>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</si>
  <si>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</si>
  <si>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</si>
  <si>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</si>
  <si>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</si>
  <si>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</si>
  <si>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</si>
  <si>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</si>
  <si>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</si>
  <si>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</si>
  <si>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</si>
  <si>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</si>
  <si>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</si>
  <si>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</si>
  <si>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</si>
  <si>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</si>
  <si>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</si>
  <si>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</si>
  <si>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</si>
  <si>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</si>
  <si>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</si>
  <si>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</si>
  <si>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</si>
  <si>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</si>
  <si>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</si>
  <si>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</si>
  <si>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</si>
  <si>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</si>
  <si>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</si>
  <si>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</si>
  <si>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</si>
  <si>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</si>
  <si>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</si>
  <si>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</si>
  <si>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</si>
  <si>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</si>
  <si>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</si>
  <si>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</si>
  <si>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</si>
  <si>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</si>
  <si>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</si>
  <si>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</si>
  <si>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</si>
  <si>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</si>
  <si>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</si>
  <si>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</si>
  <si>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</si>
  <si>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</si>
  <si>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</si>
  <si>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</si>
  <si>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</si>
  <si>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</si>
  <si>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</si>
  <si>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</si>
  <si>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</si>
  <si>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</si>
  <si>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</si>
  <si>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</si>
  <si>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</si>
  <si>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</si>
  <si>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</si>
  <si>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</si>
  <si>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</si>
  <si>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</si>
  <si>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</si>
  <si>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</si>
  <si>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</si>
  <si>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</si>
  <si>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</si>
  <si>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</si>
  <si>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</si>
  <si>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</si>
  <si>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</si>
  <si>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</si>
  <si>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</si>
  <si>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</si>
  <si>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</si>
  <si>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</si>
  <si>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</si>
  <si>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</si>
  <si>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</si>
  <si>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</si>
  <si>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</si>
  <si>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</si>
  <si>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</si>
  <si>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</si>
  <si>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</si>
  <si>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</si>
  <si>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</si>
  <si>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</si>
  <si>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</si>
  <si>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</si>
  <si>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</si>
  <si>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</si>
  <si>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</si>
  <si>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</si>
  <si>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</si>
  <si>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</si>
  <si>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</si>
  <si>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</si>
  <si>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</si>
  <si>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</si>
  <si>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</si>
  <si>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</si>
  <si>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</si>
  <si>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</si>
  <si>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</si>
  <si>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</si>
  <si>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</si>
  <si>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</si>
  <si>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</si>
  <si>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</si>
  <si>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</si>
  <si>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</si>
  <si>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</si>
  <si>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</si>
  <si>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</si>
  <si>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</si>
  <si>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</si>
  <si>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</si>
  <si>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</si>
  <si>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</si>
  <si>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</si>
  <si>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</si>
  <si>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</si>
  <si>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</si>
  <si>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</si>
  <si>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</si>
  <si>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</si>
  <si>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</si>
  <si>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</si>
  <si>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</si>
  <si>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</si>
  <si>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</si>
  <si>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</si>
  <si>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</si>
  <si>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</si>
  <si>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</si>
  <si>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</si>
  <si>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</si>
  <si>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</si>
  <si>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</si>
  <si>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</si>
  <si>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</si>
  <si>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</si>
  <si>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</si>
  <si>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</si>
  <si>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</si>
  <si>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</si>
  <si>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</si>
  <si>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</si>
  <si>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</si>
  <si>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</si>
  <si>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</si>
  <si>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</si>
  <si>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</si>
  <si>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</si>
  <si>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</si>
  <si>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</si>
  <si>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</si>
  <si>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</si>
  <si>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</si>
  <si>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</si>
  <si>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</si>
  <si>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</si>
  <si>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</si>
  <si>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</si>
  <si>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</si>
  <si>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</si>
  <si>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</si>
  <si>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</si>
  <si>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</si>
  <si>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</si>
  <si>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</si>
  <si>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</si>
  <si>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</si>
  <si>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</si>
  <si>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</si>
  <si>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</si>
  <si>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</si>
  <si>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</si>
  <si>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</si>
  <si>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</si>
  <si>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</si>
  <si>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</si>
  <si>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</si>
  <si>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</si>
  <si>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</si>
  <si>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</si>
  <si>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</si>
  <si>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</si>
  <si>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</si>
  <si>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</si>
  <si>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</si>
  <si>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</si>
  <si>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</si>
  <si>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</si>
  <si>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</si>
  <si>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</si>
  <si>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</si>
  <si>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</si>
  <si>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</si>
  <si>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</si>
  <si>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</si>
  <si>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</si>
  <si>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</si>
  <si>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</si>
  <si>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</si>
  <si>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</si>
  <si>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</si>
  <si>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</si>
  <si>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</si>
  <si>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</si>
  <si>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</si>
  <si>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</si>
  <si>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</si>
  <si>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</si>
  <si>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</si>
  <si>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</si>
  <si>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</si>
  <si>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</si>
  <si>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</si>
  <si>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</si>
  <si>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</si>
  <si>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</si>
  <si>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</si>
  <si>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</si>
  <si>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</si>
  <si>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</si>
  <si>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</si>
  <si>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</si>
  <si>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</si>
  <si>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</si>
  <si>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</si>
  <si>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</si>
  <si>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</si>
  <si>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</si>
  <si>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</si>
  <si>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</si>
  <si>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</si>
  <si>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</si>
  <si>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</si>
  <si>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</si>
  <si>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</si>
  <si>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</si>
  <si>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</si>
  <si>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</si>
  <si>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</si>
  <si>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</si>
  <si>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</si>
  <si>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</si>
  <si>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</si>
  <si>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</si>
  <si>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</si>
  <si>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</si>
  <si>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</si>
  <si>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</si>
  <si>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</si>
  <si>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</si>
  <si>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</si>
  <si>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</si>
  <si>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</si>
  <si>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</si>
  <si>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</si>
  <si>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</si>
  <si>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</si>
  <si>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</si>
  <si>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</si>
  <si>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</si>
  <si>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</si>
  <si>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</si>
  <si>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</si>
  <si>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</si>
  <si>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</si>
  <si>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</si>
  <si>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</si>
  <si>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</si>
  <si>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</si>
  <si>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</si>
  <si>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</si>
  <si>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</si>
  <si>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</si>
  <si>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</si>
  <si>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</si>
  <si>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</si>
  <si>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</si>
  <si>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</si>
  <si>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</si>
  <si>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</si>
  <si>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</si>
  <si>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</si>
  <si>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</si>
  <si>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</si>
  <si>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</si>
  <si>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</si>
  <si>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</si>
  <si>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</si>
  <si>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</si>
  <si>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</si>
  <si>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</si>
  <si>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</si>
  <si>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</si>
  <si>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</si>
  <si>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</si>
  <si>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</si>
  <si>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</si>
  <si>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</si>
  <si>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</si>
  <si>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</si>
  <si>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</si>
  <si>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</si>
  <si>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</si>
  <si>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</si>
  <si>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</si>
  <si>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</si>
  <si>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</si>
  <si>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</si>
  <si>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</si>
  <si>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</si>
  <si>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</si>
  <si>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</si>
  <si>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</si>
  <si>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</si>
  <si>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</si>
  <si>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</si>
  <si>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</si>
  <si>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</si>
  <si>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</si>
  <si>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</si>
  <si>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</si>
  <si>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</si>
  <si>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</si>
  <si>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</si>
  <si>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</si>
  <si>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</si>
  <si>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</si>
  <si>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</si>
  <si>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</si>
  <si>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</si>
  <si>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</si>
  <si>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</si>
  <si>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</si>
  <si>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</si>
  <si>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</si>
  <si>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</si>
  <si>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</si>
  <si>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</si>
  <si>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</si>
  <si>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</si>
  <si>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</si>
  <si>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</si>
  <si>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</si>
  <si>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</si>
  <si>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</si>
  <si>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</si>
  <si>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</si>
  <si>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</si>
  <si>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</si>
  <si>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</si>
  <si>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</si>
  <si>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</si>
  <si>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</si>
  <si>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</si>
  <si>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</si>
  <si>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</si>
  <si>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</si>
  <si>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</si>
  <si>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</si>
  <si>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</si>
  <si>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</si>
  <si>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</si>
  <si>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</si>
  <si>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</si>
  <si>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</si>
  <si>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</si>
  <si>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</si>
  <si>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</si>
  <si>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</si>
  <si>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</si>
  <si>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</si>
  <si>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</si>
  <si>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</si>
  <si>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</si>
  <si>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</si>
  <si>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</si>
  <si>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</si>
  <si>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</si>
  <si>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</si>
  <si>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</si>
  <si>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</si>
  <si>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</si>
  <si>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</si>
  <si>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</si>
  <si>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</si>
  <si>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</si>
  <si>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</si>
  <si>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</si>
  <si>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</si>
  <si>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</si>
  <si>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</si>
  <si>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</si>
  <si>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</si>
  <si>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</si>
  <si>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</si>
  <si>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</si>
  <si>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</si>
  <si>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</si>
  <si>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</si>
  <si>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</si>
  <si>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</si>
  <si>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</si>
  <si>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</si>
  <si>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</si>
  <si>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</si>
  <si>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</si>
  <si>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</si>
  <si>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</si>
  <si>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</si>
  <si>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</si>
  <si>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</si>
  <si>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</si>
  <si>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</si>
  <si>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</si>
  <si>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</si>
  <si>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</si>
  <si>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</si>
  <si>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</si>
  <si>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</si>
  <si>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</si>
  <si>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</si>
  <si>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</si>
  <si>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</si>
  <si>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</si>
  <si>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</si>
  <si>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</si>
  <si>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</si>
  <si>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</si>
  <si>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</si>
  <si>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</si>
  <si>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</si>
  <si>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</si>
  <si>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</si>
  <si>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</si>
  <si>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</si>
  <si>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</si>
  <si>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</si>
  <si>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</si>
  <si>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</si>
  <si>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</si>
  <si>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</si>
  <si>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</si>
  <si>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</si>
  <si>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</si>
  <si>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</si>
  <si>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</si>
  <si>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</si>
  <si>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</si>
  <si>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</si>
  <si>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</si>
  <si>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</si>
  <si>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</si>
  <si>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</si>
  <si>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</si>
  <si>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</si>
  <si>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</si>
  <si>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</si>
  <si>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</si>
  <si>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</si>
  <si>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</si>
  <si>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</si>
  <si>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</si>
  <si>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</si>
  <si>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</si>
  <si>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</si>
  <si>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</si>
  <si>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</si>
  <si>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</si>
  <si>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</si>
  <si>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</si>
  <si>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</si>
  <si>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</si>
  <si>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</si>
  <si>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</si>
  <si>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</si>
  <si>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</si>
  <si>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</si>
  <si>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</si>
  <si>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</si>
  <si>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</si>
  <si>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</si>
  <si>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</si>
  <si>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</si>
  <si>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</si>
  <si>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</si>
  <si>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</si>
  <si>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</si>
  <si>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</si>
  <si>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</si>
  <si>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</si>
  <si>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</si>
  <si>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</si>
  <si>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</si>
  <si>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</si>
  <si>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</si>
  <si>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</si>
  <si>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</si>
  <si>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</si>
  <si>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</si>
  <si>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</si>
  <si>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</si>
  <si>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</si>
  <si>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</si>
  <si>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</si>
  <si>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</si>
  <si>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</si>
  <si>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</si>
  <si>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</si>
  <si>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</si>
  <si>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</si>
  <si>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</si>
  <si>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</si>
  <si>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</si>
  <si>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</si>
  <si>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</si>
  <si>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</si>
  <si>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</si>
  <si>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</si>
  <si>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</si>
  <si>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</si>
  <si>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</si>
  <si>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</si>
  <si>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</si>
  <si>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</si>
  <si>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</si>
  <si>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</si>
  <si>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</si>
  <si>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</si>
  <si>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</si>
  <si>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</si>
  <si>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</si>
  <si>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</si>
  <si>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</si>
  <si>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</si>
  <si>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</si>
  <si>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</si>
  <si>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</si>
  <si>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</si>
  <si>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</si>
  <si>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</si>
  <si>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</si>
  <si>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</si>
  <si>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</si>
  <si>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</si>
  <si>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</si>
  <si>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</si>
  <si>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</si>
  <si>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</si>
  <si>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</si>
  <si>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</si>
  <si>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</si>
  <si>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</si>
  <si>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</si>
  <si>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</si>
  <si>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</si>
  <si>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</si>
  <si>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</si>
  <si>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</si>
  <si>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</si>
  <si>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</si>
  <si>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</si>
  <si>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</si>
  <si>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</si>
  <si>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</si>
  <si>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</si>
  <si>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</si>
  <si>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</si>
  <si>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</si>
  <si>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</si>
  <si>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</si>
  <si>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</si>
  <si>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</si>
  <si>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</si>
  <si>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</si>
  <si>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</si>
  <si>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</si>
  <si>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</si>
  <si>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</si>
  <si>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</si>
  <si>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</si>
  <si>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</si>
  <si>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</si>
  <si>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</si>
  <si>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</si>
  <si>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</si>
  <si>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</si>
  <si>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</si>
  <si>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</si>
  <si>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</si>
  <si>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</si>
  <si>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</si>
  <si>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</si>
  <si>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</si>
  <si>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</si>
  <si>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</si>
  <si>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</si>
  <si>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</si>
  <si>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</si>
  <si>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</si>
  <si>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</si>
  <si>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</si>
  <si>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</si>
  <si>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</si>
  <si>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</si>
  <si>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</si>
  <si>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</si>
  <si>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</si>
  <si>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</si>
  <si>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</si>
  <si>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</si>
  <si>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</si>
  <si>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</si>
  <si>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</si>
  <si>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</si>
  <si>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</si>
  <si>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</si>
  <si>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</si>
  <si>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</si>
  <si>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</si>
  <si>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</si>
  <si>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</si>
  <si>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</si>
  <si>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</si>
  <si>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</si>
  <si>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</si>
  <si>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</si>
  <si>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</si>
  <si>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</si>
  <si>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</si>
  <si>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</si>
  <si>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</si>
  <si>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</si>
  <si>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</si>
  <si>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</si>
  <si>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</si>
  <si>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</si>
  <si>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</si>
  <si>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</si>
  <si>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</si>
  <si>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</si>
  <si>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</si>
  <si>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</si>
  <si>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</si>
  <si>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</si>
  <si>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</si>
  <si>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</si>
  <si>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</si>
  <si>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</si>
  <si>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</si>
  <si>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</si>
  <si>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</si>
  <si>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</si>
  <si>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</si>
  <si>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</si>
  <si>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</si>
  <si>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</si>
  <si>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</si>
  <si>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</si>
  <si>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</si>
  <si>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</si>
  <si>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</si>
  <si>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</si>
  <si>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</si>
  <si>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</si>
  <si>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</si>
  <si>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</si>
  <si>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</si>
  <si>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</si>
  <si>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</si>
  <si>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</si>
  <si>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</si>
  <si>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</si>
  <si>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</si>
  <si>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</si>
  <si>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</si>
  <si>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</si>
  <si>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</si>
  <si>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</si>
  <si>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</si>
  <si>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</si>
  <si>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</si>
  <si>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</si>
  <si>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</si>
  <si>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</si>
  <si>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</si>
  <si>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</si>
  <si>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</si>
  <si>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</si>
  <si>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</si>
  <si>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</si>
  <si>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</si>
  <si>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</si>
  <si>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</si>
  <si>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</si>
  <si>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</si>
  <si>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</si>
  <si>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</si>
  <si>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</si>
  <si>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</si>
  <si>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</si>
  <si>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</si>
  <si>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</si>
  <si>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</si>
  <si>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</si>
  <si>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</si>
  <si>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</si>
  <si>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</si>
  <si>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</si>
  <si>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</si>
  <si>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</si>
  <si>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</si>
  <si>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</si>
  <si>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</si>
  <si>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</si>
  <si>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</si>
  <si>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</si>
  <si>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</si>
  <si>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</si>
  <si>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</si>
  <si>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</si>
  <si>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</si>
  <si>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</si>
  <si>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</si>
  <si>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</si>
  <si>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</si>
  <si>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</si>
  <si>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</si>
  <si>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</si>
  <si>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</si>
  <si>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</si>
  <si>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</si>
  <si>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</si>
  <si>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</si>
  <si>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</si>
  <si>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</si>
  <si>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</si>
  <si>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</si>
  <si>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</si>
  <si>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</si>
  <si>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</si>
  <si>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</si>
  <si>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</si>
  <si>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</si>
  <si>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</si>
  <si>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</si>
  <si>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</si>
  <si>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</si>
  <si>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</si>
  <si>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</si>
  <si>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</si>
  <si>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</si>
  <si>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</si>
  <si>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</si>
  <si>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</si>
  <si>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</si>
  <si>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</si>
  <si>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</si>
  <si>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</si>
  <si>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</si>
  <si>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</si>
  <si>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</si>
  <si>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</si>
  <si>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</si>
  <si>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</si>
  <si>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</si>
  <si>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</si>
  <si>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</si>
  <si>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</si>
  <si>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</si>
  <si>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</si>
  <si>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</si>
  <si>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</si>
  <si>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</si>
  <si>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</si>
  <si>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</si>
  <si>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</si>
  <si>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</si>
  <si>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</si>
  <si>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</si>
  <si>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</si>
  <si>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</si>
  <si>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</si>
  <si>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</si>
  <si>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</si>
  <si>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</si>
  <si>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</si>
  <si>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</si>
  <si>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</si>
  <si>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</si>
  <si>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</si>
  <si>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</si>
  <si>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</si>
  <si>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</si>
  <si>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</si>
  <si>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</si>
  <si>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</si>
  <si>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</si>
  <si>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</si>
  <si>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</si>
  <si>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</si>
  <si>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</si>
  <si>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</si>
  <si>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</si>
  <si>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</si>
  <si>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</si>
  <si>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</si>
  <si>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</si>
  <si>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</si>
  <si>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</si>
  <si>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</si>
  <si>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</si>
  <si>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</si>
  <si>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</si>
  <si>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</si>
  <si>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</si>
  <si>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</si>
  <si>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</si>
  <si>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</si>
  <si>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</si>
  <si>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</si>
  <si>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</si>
  <si>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</si>
  <si>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</si>
  <si>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</si>
  <si>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</si>
  <si>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</si>
  <si>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</si>
  <si>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</si>
  <si>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</si>
  <si>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</si>
  <si>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</si>
  <si>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</si>
  <si>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</si>
  <si>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</si>
  <si>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</si>
  <si>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</si>
  <si>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</si>
  <si>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</si>
  <si>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</si>
  <si>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</si>
  <si>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</si>
  <si>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</si>
  <si>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</si>
  <si>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</si>
  <si>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</si>
  <si>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</si>
  <si>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</si>
  <si>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</si>
  <si>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</si>
  <si>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</si>
  <si>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</si>
  <si>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</si>
  <si>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</si>
  <si>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</si>
  <si>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</si>
  <si>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</si>
  <si>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</si>
  <si>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</si>
  <si>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</si>
  <si>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</si>
  <si>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</si>
  <si>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</si>
  <si>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</si>
  <si>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</si>
  <si>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</si>
  <si>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</si>
  <si>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</si>
  <si>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</si>
  <si>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</si>
  <si>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</si>
  <si>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</si>
  <si>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</si>
  <si>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</si>
  <si>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</si>
  <si>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</si>
  <si>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</si>
  <si>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</si>
  <si>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</si>
  <si>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</si>
  <si>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</si>
  <si>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</si>
  <si>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</si>
  <si>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</si>
  <si>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</si>
  <si>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</si>
  <si>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</si>
  <si>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</si>
  <si>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</si>
  <si>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</si>
  <si>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</si>
  <si>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</si>
  <si>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</si>
  <si>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</si>
  <si>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</si>
  <si>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</si>
  <si>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</si>
  <si>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</si>
  <si>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</si>
  <si>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</si>
  <si>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</si>
  <si>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</si>
  <si>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</si>
  <si>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</si>
  <si>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</si>
  <si>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</si>
  <si>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</si>
  <si>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</si>
  <si>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</si>
  <si>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</si>
  <si>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</si>
  <si>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</si>
  <si>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</si>
  <si>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</si>
  <si>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</si>
  <si>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</si>
  <si>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</si>
  <si>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</si>
  <si>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</si>
  <si>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</si>
  <si>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</si>
  <si>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</si>
  <si>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</si>
  <si>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</si>
  <si>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</si>
  <si>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</si>
  <si>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</si>
  <si>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</si>
  <si>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</si>
  <si>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</si>
  <si>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</si>
  <si>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</si>
  <si>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</si>
  <si>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</si>
  <si>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</si>
  <si>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</si>
  <si>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</si>
  <si>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</si>
  <si>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</si>
  <si>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</si>
  <si>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</si>
  <si>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</si>
  <si>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</si>
  <si>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</si>
  <si>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</si>
  <si>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</si>
  <si>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</si>
  <si>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</si>
  <si>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</si>
  <si>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</si>
  <si>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</si>
  <si>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</si>
  <si>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</si>
  <si>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</si>
  <si>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</si>
  <si>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</si>
  <si>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</si>
  <si>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</si>
  <si>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</si>
  <si>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</si>
  <si>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</si>
  <si>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</si>
  <si>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</si>
  <si>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</si>
  <si>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</si>
  <si>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</si>
  <si>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</si>
  <si>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</si>
  <si>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</si>
  <si>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</si>
  <si>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</si>
  <si>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</si>
  <si>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</si>
  <si>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</si>
  <si>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</si>
  <si>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</si>
  <si>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</si>
  <si>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</si>
  <si>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</si>
  <si>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</si>
  <si>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</si>
  <si>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</si>
  <si>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</si>
  <si>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</si>
  <si>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</si>
  <si>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</si>
  <si>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</si>
  <si>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</si>
  <si>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</si>
  <si>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</si>
  <si>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</si>
  <si>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</si>
  <si>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</si>
  <si>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</si>
  <si>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</si>
  <si>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</si>
  <si>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</si>
  <si>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</si>
  <si>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</si>
  <si>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</si>
  <si>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</si>
  <si>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</si>
  <si>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</si>
  <si>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</si>
  <si>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</si>
  <si>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</si>
  <si>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</si>
  <si>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</si>
  <si>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</si>
  <si>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</si>
  <si>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</si>
  <si>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</si>
  <si>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</si>
  <si>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</si>
  <si>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</si>
  <si>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</si>
  <si>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</si>
  <si>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</si>
  <si>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</si>
  <si>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</si>
  <si>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</si>
  <si>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</si>
  <si>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</si>
  <si>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</si>
  <si>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</si>
  <si>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</si>
  <si>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</si>
  <si>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</si>
  <si>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</si>
  <si>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</si>
  <si>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</si>
  <si>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</si>
  <si>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</si>
  <si>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</si>
  <si>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</si>
  <si>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</si>
  <si>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</si>
  <si>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</si>
  <si>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</si>
  <si>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</si>
  <si>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</si>
  <si>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</si>
  <si>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</si>
  <si>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</si>
  <si>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</si>
  <si>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</si>
  <si>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</si>
  <si>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</si>
  <si>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</si>
  <si>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</si>
  <si>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</si>
  <si>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</si>
  <si>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</si>
  <si>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</si>
  <si>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</si>
  <si>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</si>
  <si>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</si>
  <si>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</si>
  <si>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</si>
  <si>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</si>
  <si>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</si>
  <si>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</si>
  <si>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</si>
  <si>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</si>
  <si>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</si>
  <si>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</si>
  <si>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</si>
  <si>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</si>
  <si>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</si>
  <si>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</si>
  <si>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</si>
  <si>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</si>
  <si>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</si>
  <si>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</si>
  <si>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</si>
  <si>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</si>
  <si>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</si>
  <si>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</si>
  <si>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</si>
  <si>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</si>
  <si>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</si>
  <si>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</si>
  <si>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</si>
  <si>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</si>
  <si>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</si>
  <si>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</si>
  <si>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</si>
  <si>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</si>
  <si>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</si>
  <si>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</si>
  <si>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</si>
  <si>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</si>
  <si>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</si>
  <si>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</si>
  <si>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</si>
  <si>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</si>
  <si>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</si>
  <si>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</si>
  <si>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</si>
  <si>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</si>
  <si>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</si>
  <si>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</si>
  <si>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</si>
  <si>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</si>
  <si>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</si>
  <si>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</si>
  <si>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</si>
  <si>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</si>
  <si>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</si>
  <si>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</si>
  <si>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</si>
  <si>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</si>
  <si>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</si>
  <si>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</si>
  <si>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</si>
  <si>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</si>
  <si>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</si>
  <si>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</si>
  <si>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</si>
  <si>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</si>
  <si>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</si>
  <si>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</si>
  <si>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</si>
  <si>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</si>
  <si>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</si>
  <si>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</si>
  <si>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</si>
  <si>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</si>
  <si>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</si>
  <si>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</si>
  <si>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</si>
  <si>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</si>
  <si>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</si>
  <si>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</si>
  <si>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</si>
  <si>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</si>
  <si>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</si>
  <si>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</si>
  <si>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</si>
  <si>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</si>
  <si>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</si>
  <si>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</si>
  <si>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</si>
  <si>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</si>
  <si>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</si>
  <si>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</si>
  <si>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</si>
  <si>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</si>
  <si>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</si>
  <si>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</si>
  <si>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</si>
  <si>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</si>
  <si>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</si>
  <si>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</si>
  <si>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</si>
  <si>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</si>
  <si>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</si>
  <si>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</si>
  <si>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</si>
  <si>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</si>
  <si>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</si>
  <si>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</si>
  <si>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</si>
  <si>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</si>
  <si>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</si>
  <si>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</si>
  <si>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</si>
  <si>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</si>
  <si>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</si>
  <si>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</si>
  <si>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</si>
  <si>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</si>
  <si>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</si>
  <si>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</si>
  <si>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</si>
  <si>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</si>
  <si>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</si>
  <si>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</si>
  <si>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</si>
  <si>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</si>
  <si>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</si>
  <si>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</si>
  <si>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</si>
  <si>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</si>
  <si>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</si>
  <si>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</si>
  <si>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</si>
  <si>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</si>
  <si>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</si>
  <si>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</si>
  <si>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</si>
  <si>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</si>
  <si>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</si>
  <si>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</si>
  <si>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</si>
  <si>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</si>
  <si>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</si>
  <si>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</si>
  <si>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</si>
  <si>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</si>
  <si>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</si>
  <si>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</si>
  <si>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</si>
  <si>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</si>
  <si>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</si>
  <si>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</si>
  <si>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</si>
  <si>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</si>
  <si>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</si>
  <si>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</si>
  <si>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</si>
  <si>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</si>
  <si>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</si>
  <si>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</si>
  <si>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</si>
  <si>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</si>
  <si>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</si>
  <si>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</si>
  <si>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</si>
  <si>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</si>
  <si>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</si>
  <si>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</si>
  <si>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</si>
  <si>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</si>
  <si>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</si>
  <si>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</si>
  <si>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</si>
  <si>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</si>
  <si>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</si>
  <si>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</si>
  <si>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</si>
  <si>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</si>
  <si>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</si>
  <si>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</si>
  <si>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</si>
  <si>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</si>
  <si>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</si>
  <si>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</si>
  <si>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</si>
  <si>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</si>
  <si>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</si>
  <si>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</si>
  <si>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</si>
  <si>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</si>
  <si>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</si>
  <si>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</si>
  <si>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</si>
  <si>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</si>
  <si>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</si>
  <si>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</si>
  <si>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</si>
  <si>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</si>
  <si>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</si>
  <si>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</si>
  <si>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</si>
  <si>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</si>
  <si>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</si>
  <si>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</si>
  <si>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</si>
  <si>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</si>
  <si>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</si>
  <si>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</si>
  <si>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</si>
  <si>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</si>
  <si>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</si>
  <si>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</si>
  <si>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</si>
  <si>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</si>
  <si>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</si>
  <si>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</si>
  <si>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</si>
  <si>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</si>
  <si>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</si>
  <si>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</si>
  <si>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</si>
  <si>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</si>
  <si>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</si>
  <si>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</si>
  <si>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</si>
  <si>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</si>
  <si>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</si>
  <si>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</si>
  <si>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</si>
  <si>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</si>
  <si>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</si>
  <si>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</si>
  <si>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</si>
  <si>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</si>
  <si>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</si>
  <si>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</si>
  <si>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</si>
  <si>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</si>
  <si>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</si>
  <si>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</si>
  <si>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</si>
  <si>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</si>
  <si>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</si>
  <si>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</si>
  <si>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</si>
  <si>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</si>
  <si>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</si>
  <si>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</si>
  <si>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</si>
  <si>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</si>
  <si>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</si>
  <si>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</si>
  <si>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</si>
  <si>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</si>
  <si>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</si>
  <si>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</si>
  <si>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</si>
  <si>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</si>
  <si>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</si>
  <si>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</si>
  <si>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</si>
  <si>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</si>
  <si>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</si>
  <si>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</si>
  <si>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</si>
  <si>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</si>
  <si>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</si>
  <si>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</si>
  <si>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</si>
  <si>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</si>
  <si>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</si>
  <si>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</si>
  <si>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</si>
  <si>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</si>
  <si>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</si>
  <si>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</si>
  <si>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</si>
  <si>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</si>
  <si>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</si>
  <si>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</si>
  <si>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</si>
  <si>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</si>
  <si>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</si>
  <si>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</si>
  <si>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</si>
  <si>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</si>
  <si>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</si>
  <si>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</si>
  <si>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</si>
  <si>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</si>
  <si>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</si>
  <si>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</si>
  <si>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</si>
  <si>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</si>
  <si>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</si>
  <si>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</si>
  <si>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</si>
  <si>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</si>
  <si>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</si>
  <si>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</si>
  <si>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</si>
  <si>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</si>
  <si>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</si>
  <si>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</si>
  <si>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</si>
  <si>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</si>
  <si>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</si>
  <si>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</si>
  <si>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</si>
  <si>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</si>
  <si>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</si>
  <si>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</si>
  <si>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</si>
  <si>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</si>
  <si>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</si>
  <si>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</si>
  <si>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</si>
  <si>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</si>
  <si>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</si>
  <si>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</si>
  <si>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</si>
  <si>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</si>
  <si>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</si>
  <si>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</si>
  <si>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</si>
  <si>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</si>
  <si>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</si>
  <si>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</si>
  <si>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</si>
  <si>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</si>
  <si>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</si>
  <si>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</si>
  <si>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</si>
  <si>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</si>
  <si>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</si>
  <si>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</si>
  <si>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</si>
  <si>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</si>
  <si>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</si>
  <si>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</si>
  <si>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</si>
  <si>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</si>
  <si>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</si>
  <si>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</si>
  <si>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</si>
  <si>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</si>
  <si>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</si>
  <si>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</si>
  <si>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</si>
  <si>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</si>
  <si>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</si>
  <si>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</si>
  <si>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</si>
  <si>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</si>
  <si>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</si>
  <si>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</si>
  <si>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</si>
  <si>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</si>
  <si>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</si>
  <si>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</si>
  <si>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</si>
  <si>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</si>
  <si>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</si>
  <si>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</si>
  <si>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</si>
  <si>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</si>
  <si>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</si>
  <si>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</si>
  <si>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</si>
  <si>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</si>
  <si>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</si>
  <si>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</si>
  <si>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</si>
  <si>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</si>
  <si>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</si>
  <si>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</si>
  <si>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</si>
  <si>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</si>
  <si>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</si>
  <si>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</si>
  <si>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</si>
  <si>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</si>
  <si>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</si>
  <si>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</si>
  <si>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</si>
  <si>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</si>
  <si>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</si>
  <si>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</si>
  <si>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</si>
  <si>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</si>
  <si>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</si>
  <si>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</si>
  <si>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</si>
  <si>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</si>
  <si>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</si>
  <si>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</si>
  <si>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</si>
  <si>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</si>
  <si>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</si>
  <si>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</si>
  <si>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</si>
  <si>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</si>
  <si>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</si>
  <si>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</si>
  <si>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</si>
  <si>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</si>
  <si>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</si>
  <si>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</si>
  <si>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</si>
  <si>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</si>
  <si>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</si>
  <si>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</si>
  <si>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</si>
  <si>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</si>
  <si>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</si>
  <si>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</si>
  <si>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</si>
  <si>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</si>
  <si>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</si>
  <si>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</si>
  <si>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</si>
  <si>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</si>
  <si>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</si>
  <si>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</si>
  <si>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</si>
  <si>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</si>
  <si>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</si>
  <si>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</si>
  <si>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</si>
  <si>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</si>
  <si>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</si>
  <si>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</si>
  <si>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</si>
  <si>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</si>
  <si>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</si>
  <si>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</si>
  <si>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</si>
  <si>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</si>
  <si>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</si>
  <si>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</si>
  <si>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</si>
  <si>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</si>
  <si>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</si>
  <si>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</si>
  <si>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</si>
  <si>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</si>
  <si>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</si>
  <si>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</si>
  <si>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</si>
  <si>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</si>
  <si>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</si>
  <si>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</si>
  <si>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</si>
  <si>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</si>
  <si>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</si>
  <si>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</si>
  <si>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</si>
  <si>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</si>
  <si>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</si>
  <si>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</si>
  <si>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</si>
  <si>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</si>
  <si>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</si>
  <si>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</si>
  <si>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</si>
  <si>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</si>
  <si>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</si>
  <si>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</si>
  <si>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</si>
  <si>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</si>
  <si>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</si>
  <si>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</si>
  <si>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</si>
  <si>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</si>
  <si>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</si>
  <si>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</si>
  <si>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</si>
  <si>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</si>
  <si>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</si>
  <si>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</si>
  <si>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</si>
  <si>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</si>
  <si>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</si>
  <si>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</si>
  <si>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</si>
  <si>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</si>
  <si>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</si>
  <si>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</si>
  <si>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</si>
  <si>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</si>
  <si>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</si>
  <si>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</si>
  <si>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</si>
  <si>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</si>
  <si>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</si>
  <si>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</si>
  <si>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</si>
  <si>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</si>
  <si>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</si>
  <si>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</si>
  <si>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</si>
  <si>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</si>
  <si>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</si>
  <si>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</si>
  <si>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</si>
  <si>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</si>
  <si>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</si>
  <si>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</si>
  <si>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</si>
  <si>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</si>
  <si>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</si>
  <si>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</si>
  <si>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</si>
  <si>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</si>
  <si>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</si>
  <si>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</si>
  <si>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</si>
  <si>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</si>
  <si>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</si>
  <si>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</si>
  <si>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</si>
  <si>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</si>
  <si>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</si>
  <si>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</si>
  <si>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</si>
  <si>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</si>
  <si>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</si>
  <si>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</si>
  <si>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</si>
  <si>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</si>
  <si>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</si>
  <si>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</si>
  <si>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</si>
  <si>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</si>
  <si>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</si>
  <si>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</si>
  <si>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</si>
  <si>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</si>
  <si>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</si>
  <si>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</si>
  <si>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</si>
  <si>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</si>
  <si>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</si>
  <si>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</si>
  <si>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</si>
  <si>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</si>
  <si>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</si>
  <si>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</si>
  <si>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</si>
  <si>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</si>
  <si>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</si>
  <si>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</si>
  <si>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</si>
  <si>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</si>
  <si>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</si>
  <si>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</si>
  <si>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</si>
  <si>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</si>
  <si>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</si>
  <si>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</si>
  <si>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</si>
  <si>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</si>
  <si>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</si>
  <si>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</si>
  <si>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</si>
  <si>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</si>
  <si>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</si>
  <si>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</si>
  <si>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</si>
  <si>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</si>
  <si>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</si>
  <si>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</si>
  <si>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</si>
  <si>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</si>
  <si>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</si>
  <si>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</si>
  <si>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</si>
  <si>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</si>
  <si>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</si>
  <si>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</si>
  <si>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</si>
  <si>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</si>
  <si>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</si>
  <si>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</si>
  <si>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</si>
  <si>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</si>
  <si>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</si>
  <si>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</si>
  <si>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</si>
  <si>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</si>
  <si>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</si>
  <si>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</si>
  <si>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</si>
  <si>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</si>
  <si>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</si>
  <si>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</si>
  <si>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</si>
  <si>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</si>
  <si>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</si>
  <si>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</si>
  <si>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</si>
  <si>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</si>
  <si>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</si>
  <si>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</si>
  <si>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</si>
  <si>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</si>
  <si>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</si>
  <si>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</si>
  <si>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</si>
  <si>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</si>
  <si>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</si>
  <si>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</si>
  <si>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</si>
  <si>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</si>
  <si>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</si>
  <si>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</si>
  <si>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</si>
  <si>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</si>
  <si>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</si>
  <si>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</si>
  <si>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</si>
  <si>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</si>
  <si>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</si>
  <si>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</si>
  <si>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</si>
  <si>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</si>
  <si>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</si>
  <si>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</si>
  <si>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</si>
  <si>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</si>
  <si>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</si>
  <si>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</si>
  <si>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</si>
  <si>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</si>
  <si>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</si>
  <si>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</si>
  <si>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</si>
  <si>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</si>
  <si>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</si>
  <si>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</si>
  <si>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</si>
  <si>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</si>
  <si>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</si>
  <si>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</si>
  <si>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</si>
  <si>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</si>
  <si>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</si>
  <si>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</si>
  <si>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</si>
  <si>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</si>
  <si>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</si>
  <si>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</si>
  <si>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</si>
  <si>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</si>
  <si>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</si>
  <si>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</si>
  <si>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</si>
  <si>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</si>
  <si>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</si>
  <si>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</si>
  <si>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</si>
  <si>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</si>
  <si>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</si>
  <si>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</si>
  <si>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</si>
  <si>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</si>
  <si>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</si>
  <si>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</si>
  <si>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</si>
  <si>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</si>
  <si>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</si>
  <si>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</si>
  <si>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</si>
  <si>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</si>
  <si>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</si>
  <si>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</si>
  <si>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</si>
  <si>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</si>
  <si>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</si>
  <si>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</si>
  <si>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</si>
  <si>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</si>
  <si>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</si>
  <si>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</si>
  <si>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</si>
  <si>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</si>
  <si>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</si>
  <si>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</si>
  <si>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</si>
  <si>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</si>
  <si>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</si>
  <si>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</si>
  <si>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</si>
  <si>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</si>
  <si>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</si>
  <si>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</si>
  <si>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</si>
  <si>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</si>
  <si>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</si>
  <si>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</si>
  <si>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</si>
  <si>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</si>
  <si>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</si>
  <si>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</si>
  <si>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</si>
  <si>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</si>
  <si>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</si>
  <si>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</si>
  <si>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</si>
  <si>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</si>
  <si>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</si>
  <si>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</si>
  <si>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</si>
  <si>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</si>
  <si>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</si>
  <si>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</si>
  <si>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</si>
  <si>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</si>
  <si>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</si>
  <si>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</si>
  <si>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</si>
  <si>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</si>
  <si>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</si>
  <si>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</si>
  <si>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</si>
  <si>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</si>
  <si>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</si>
  <si>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</si>
  <si>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</si>
  <si>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</si>
  <si>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</si>
  <si>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</si>
  <si>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</si>
  <si>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</si>
  <si>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</si>
  <si>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</si>
  <si>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</si>
  <si>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</si>
  <si>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</si>
  <si>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</si>
  <si>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</si>
  <si>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</si>
  <si>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</si>
  <si>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</si>
  <si>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</si>
  <si>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</si>
  <si>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</si>
  <si>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</si>
  <si>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</si>
  <si>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</si>
  <si>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</si>
  <si>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</si>
  <si>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</si>
  <si>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</si>
  <si>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</si>
  <si>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</si>
  <si>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</si>
  <si>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</si>
  <si>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</si>
  <si>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</si>
  <si>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</si>
  <si>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</si>
  <si>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</si>
  <si>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</si>
  <si>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</si>
  <si>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</si>
  <si>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</si>
  <si>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</si>
  <si>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</si>
  <si>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</si>
  <si>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</si>
  <si>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</si>
  <si>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</si>
  <si>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</si>
  <si>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</si>
  <si>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</si>
  <si>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</si>
  <si>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</si>
  <si>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</si>
  <si>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</si>
  <si>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</si>
  <si>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</si>
  <si>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</si>
  <si>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</si>
  <si>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</si>
  <si>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</si>
  <si>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</si>
  <si>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</si>
  <si>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</si>
  <si>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</si>
  <si>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</si>
  <si>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</si>
  <si>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</si>
  <si>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</si>
  <si>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</si>
  <si>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</si>
  <si>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</si>
  <si>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</si>
  <si>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</si>
  <si>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</si>
  <si>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</si>
  <si>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</si>
  <si>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</si>
  <si>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</si>
  <si>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</si>
  <si>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</si>
  <si>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</si>
  <si>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</si>
  <si>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</si>
  <si>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</si>
  <si>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</si>
  <si>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</si>
  <si>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</si>
  <si>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</si>
  <si>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</si>
  <si>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</si>
  <si>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</si>
  <si>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</si>
  <si>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</si>
  <si>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</si>
  <si>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</si>
  <si>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</si>
  <si>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</si>
  <si>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</si>
  <si>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</si>
  <si>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</si>
  <si>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</si>
  <si>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</si>
  <si>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</si>
  <si>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</si>
  <si>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</si>
  <si>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</si>
  <si>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</si>
  <si>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</si>
  <si>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</si>
  <si>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</si>
  <si>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</si>
  <si>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</si>
  <si>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</si>
  <si>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</si>
  <si>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</si>
  <si>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</si>
  <si>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</si>
  <si>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</si>
  <si>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</si>
  <si>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</si>
  <si>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</si>
  <si>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</si>
  <si>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</si>
  <si>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</si>
  <si>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</si>
  <si>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</si>
  <si>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</si>
  <si>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</si>
  <si>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</si>
  <si>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</si>
  <si>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</si>
  <si>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</si>
  <si>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</si>
  <si>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</si>
  <si>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</si>
  <si>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</si>
  <si>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</si>
  <si>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</si>
  <si>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</si>
  <si>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</si>
  <si>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</si>
  <si>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</si>
  <si>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</si>
  <si>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</si>
  <si>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</si>
  <si>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</si>
  <si>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</si>
  <si>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</si>
  <si>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</si>
  <si>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</si>
  <si>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</si>
  <si>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</si>
  <si>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</si>
  <si>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</si>
  <si>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</si>
  <si>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</si>
  <si>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</si>
  <si>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</si>
  <si>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</si>
  <si>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</si>
  <si>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</si>
  <si>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</si>
  <si>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</si>
  <si>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</si>
  <si>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</si>
  <si>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</si>
  <si>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</si>
  <si>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</si>
  <si>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</si>
  <si>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</si>
  <si>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</si>
  <si>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</si>
  <si>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</si>
  <si>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</si>
  <si>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</si>
  <si>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</si>
  <si>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</si>
  <si>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</si>
  <si>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</si>
  <si>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</si>
  <si>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</si>
  <si>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</si>
  <si>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</si>
  <si>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</si>
  <si>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</si>
  <si>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</si>
  <si>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</si>
  <si>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</si>
  <si>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</si>
  <si>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</si>
  <si>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</si>
  <si>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</si>
  <si>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</si>
  <si>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</si>
  <si>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</si>
  <si>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</si>
  <si>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</si>
  <si>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</si>
  <si>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</si>
  <si>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</si>
  <si>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</si>
  <si>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</si>
  <si>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</si>
  <si>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</si>
  <si>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</si>
  <si>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</si>
  <si>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</si>
  <si>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</si>
  <si>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</si>
  <si>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</si>
  <si>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</si>
  <si>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</si>
  <si>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</si>
  <si>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</si>
  <si>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</si>
  <si>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</si>
  <si>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</si>
  <si>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</si>
  <si>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</si>
  <si>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</si>
  <si>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</si>
  <si>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</si>
  <si>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</si>
  <si>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</si>
  <si>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</si>
  <si>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</si>
  <si>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</si>
  <si>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</si>
  <si>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</si>
  <si>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</si>
  <si>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</si>
  <si>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</si>
  <si>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</si>
  <si>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</si>
  <si>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</si>
  <si>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</si>
  <si>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</si>
  <si>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</si>
  <si>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</si>
  <si>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</si>
  <si>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</si>
  <si>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</si>
  <si>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</si>
  <si>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</si>
  <si>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</si>
  <si>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</si>
  <si>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</si>
  <si>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</si>
  <si>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</si>
  <si>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</si>
  <si>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</si>
  <si>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</si>
  <si>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</si>
  <si>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</si>
  <si>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</si>
  <si>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</si>
  <si>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</si>
  <si>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</si>
  <si>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</si>
  <si>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</si>
  <si>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</si>
  <si>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</si>
  <si>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</si>
  <si>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</si>
  <si>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</si>
  <si>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</si>
  <si>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</si>
  <si>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</si>
  <si>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</si>
  <si>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</si>
  <si>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</si>
  <si>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</si>
  <si>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</si>
  <si>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</si>
  <si>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</si>
  <si>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</si>
  <si>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</si>
  <si>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</si>
  <si>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</si>
  <si>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</si>
  <si>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</si>
  <si>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</si>
  <si>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</si>
  <si>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</si>
  <si>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</si>
  <si>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</si>
  <si>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</si>
  <si>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</si>
  <si>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</si>
  <si>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</si>
  <si>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</si>
  <si>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</si>
  <si>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</si>
  <si>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</si>
  <si>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</si>
  <si>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</si>
  <si>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</si>
  <si>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</si>
  <si>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</si>
  <si>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</si>
  <si>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</si>
  <si>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</si>
  <si>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</si>
  <si>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</si>
  <si>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</si>
  <si>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</si>
  <si>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</si>
  <si>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</si>
  <si>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</si>
  <si>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</si>
  <si>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</si>
  <si>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</si>
  <si>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</si>
  <si>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</si>
  <si>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</si>
  <si>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</si>
  <si>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</si>
  <si>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</si>
  <si>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</si>
  <si>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</si>
  <si>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</si>
  <si>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</si>
  <si>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</si>
  <si>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</si>
  <si>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</si>
  <si>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</si>
  <si>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</si>
  <si>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</si>
  <si>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</si>
  <si>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</si>
  <si>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</si>
  <si>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</si>
  <si>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</si>
  <si>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</si>
  <si>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</si>
  <si>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</si>
  <si>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</si>
  <si>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</si>
  <si>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</si>
  <si>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</si>
  <si>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</si>
  <si>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</si>
  <si>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</si>
  <si>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</si>
  <si>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</si>
  <si>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</si>
  <si>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</si>
  <si>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</si>
  <si>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</si>
  <si>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</si>
  <si>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</si>
  <si>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</si>
  <si>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</si>
  <si>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</si>
  <si>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</si>
  <si>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</si>
  <si>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</si>
  <si>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</si>
  <si>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</si>
  <si>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</si>
  <si>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</si>
  <si>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</si>
  <si>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</si>
  <si>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</si>
  <si>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</si>
  <si>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</si>
  <si>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</si>
  <si>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</si>
  <si>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</si>
  <si>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</si>
  <si>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</si>
  <si>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</si>
  <si>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</si>
  <si>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</si>
  <si>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</si>
  <si>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</si>
  <si>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</si>
  <si>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</si>
  <si>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</si>
  <si>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</si>
  <si>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</si>
  <si>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</si>
  <si>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</si>
  <si>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</si>
  <si>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</si>
  <si>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</si>
  <si>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</si>
  <si>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</si>
  <si>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</si>
  <si>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</si>
  <si>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</si>
  <si>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</si>
  <si>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</si>
  <si>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</si>
  <si>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</si>
  <si>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</si>
  <si>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</si>
  <si>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</si>
  <si>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</si>
  <si>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</si>
  <si>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</si>
  <si>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</si>
  <si>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</si>
  <si>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</si>
  <si>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</si>
  <si>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</si>
  <si>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</si>
  <si>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</si>
  <si>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</si>
  <si>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</si>
  <si>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</si>
  <si>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</si>
  <si>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</si>
  <si>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</si>
  <si>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</si>
  <si>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</si>
  <si>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</si>
  <si>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</si>
  <si>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</si>
  <si>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</si>
  <si>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</si>
  <si>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</si>
  <si>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</si>
  <si>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</si>
  <si>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</si>
  <si>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</si>
  <si>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</si>
  <si>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</si>
  <si>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</si>
  <si>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</si>
  <si>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</si>
  <si>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</si>
  <si>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</si>
  <si>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</si>
  <si>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</si>
  <si>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</si>
  <si>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</si>
  <si>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</si>
  <si>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</si>
  <si>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</si>
  <si>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</si>
  <si>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</si>
  <si>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</si>
  <si>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</si>
  <si>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</si>
  <si>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</si>
  <si>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</si>
  <si>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</si>
  <si>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</si>
  <si>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</si>
  <si>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</si>
  <si>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</si>
  <si>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</si>
  <si>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</si>
  <si>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</si>
  <si>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</si>
  <si>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</si>
  <si>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</si>
  <si>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</si>
  <si>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</si>
  <si>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</si>
  <si>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</si>
  <si>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</si>
  <si>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</si>
  <si>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</si>
  <si>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</si>
  <si>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</si>
  <si>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</si>
  <si>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</si>
  <si>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</si>
  <si>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</si>
  <si>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</si>
  <si>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</si>
  <si>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</si>
  <si>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</si>
  <si>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</si>
  <si>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</si>
  <si>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</si>
  <si>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</si>
  <si>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</si>
  <si>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</si>
  <si>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</si>
  <si>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</si>
  <si>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</si>
  <si>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</si>
  <si>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</si>
  <si>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</si>
  <si>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</si>
  <si>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</si>
  <si>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</si>
  <si>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</si>
  <si>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</si>
  <si>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</si>
  <si>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</si>
  <si>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</si>
  <si>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</si>
  <si>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</si>
  <si>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</si>
  <si>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</si>
  <si>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</si>
  <si>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</si>
  <si>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</si>
  <si>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</si>
  <si>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</si>
  <si>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</si>
  <si>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</si>
  <si>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</si>
  <si>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</si>
  <si>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</si>
  <si>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</si>
  <si>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</si>
  <si>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</si>
  <si>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</si>
  <si>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</si>
  <si>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</si>
  <si>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</si>
  <si>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</si>
  <si>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</si>
  <si>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</si>
  <si>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</si>
  <si>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</si>
  <si>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</si>
  <si>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</si>
  <si>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</si>
  <si>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</si>
  <si>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</si>
  <si>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</si>
  <si>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</si>
  <si>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</si>
  <si>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</si>
  <si>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</si>
  <si>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</si>
  <si>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</si>
  <si>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</si>
  <si>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</si>
  <si>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</si>
  <si>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</si>
  <si>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</si>
  <si>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</si>
  <si>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</si>
  <si>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</si>
  <si>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</si>
  <si>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</si>
  <si>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</si>
  <si>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</si>
  <si>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</si>
  <si>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</si>
  <si>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</si>
  <si>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</si>
  <si>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</si>
  <si>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</si>
  <si>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</si>
  <si>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</si>
  <si>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</si>
  <si>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</si>
  <si>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</si>
  <si>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</si>
  <si>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</si>
  <si>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</si>
  <si>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</si>
  <si>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</si>
  <si>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</si>
  <si>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</si>
  <si>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</si>
  <si>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</si>
  <si>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</si>
  <si>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</si>
  <si>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</si>
  <si>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</si>
  <si>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</si>
  <si>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</si>
  <si>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</si>
  <si>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</si>
  <si>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</si>
  <si>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</si>
  <si>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</si>
  <si>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</si>
  <si>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</si>
  <si>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</si>
  <si>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</si>
  <si>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</si>
  <si>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</si>
  <si>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</si>
  <si>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</si>
  <si>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</si>
  <si>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</si>
  <si>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</si>
  <si>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</si>
  <si>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</si>
  <si>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</si>
  <si>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</si>
  <si>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</si>
  <si>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</si>
  <si>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</si>
  <si>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</si>
  <si>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</si>
  <si>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</si>
  <si>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</si>
  <si>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</si>
  <si>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</si>
  <si>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</si>
  <si>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</si>
  <si>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</si>
  <si>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</si>
  <si>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</si>
  <si>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</si>
  <si>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</si>
  <si>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</si>
  <si>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</si>
  <si>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</si>
  <si>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</si>
  <si>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</si>
  <si>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</si>
  <si>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</si>
  <si>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</si>
  <si>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</si>
  <si>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</si>
  <si>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</si>
  <si>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</si>
  <si>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</si>
  <si>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</si>
  <si>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</si>
  <si>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</si>
  <si>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</si>
  <si>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</si>
  <si>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</si>
  <si>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</si>
  <si>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</si>
  <si>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</si>
  <si>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</si>
  <si>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</si>
  <si>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</si>
  <si>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</si>
  <si>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</si>
  <si>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</si>
  <si>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</si>
  <si>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</si>
  <si>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</si>
  <si>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</si>
  <si>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</si>
  <si>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</si>
  <si>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</si>
  <si>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</si>
  <si>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</si>
  <si>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</si>
  <si>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</si>
  <si>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</si>
  <si>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</si>
  <si>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</si>
  <si>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</si>
  <si>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</si>
  <si>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</si>
  <si>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</si>
  <si>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</si>
  <si>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</si>
  <si>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</si>
  <si>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</si>
  <si>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</si>
  <si>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</si>
  <si>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</si>
  <si>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</si>
  <si>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</si>
  <si>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</si>
  <si>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</si>
  <si>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</si>
  <si>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</si>
  <si>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</si>
  <si>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</si>
  <si>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</si>
  <si>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</si>
  <si>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</si>
  <si>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</si>
  <si>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</si>
  <si>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</si>
  <si>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</si>
  <si>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</si>
  <si>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</si>
  <si>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</si>
  <si>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</si>
  <si>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</si>
  <si>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</si>
  <si>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</si>
  <si>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</si>
  <si>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</si>
  <si>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</si>
  <si>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</si>
  <si>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</si>
  <si>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</si>
  <si>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</si>
  <si>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</si>
  <si>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</si>
  <si>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</si>
  <si>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</si>
  <si>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</si>
  <si>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</si>
  <si>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</si>
  <si>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</si>
  <si>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</si>
  <si>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</si>
  <si>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</si>
  <si>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</si>
  <si>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</si>
  <si>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</si>
  <si>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</si>
  <si>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</si>
  <si>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</si>
  <si>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</si>
  <si>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</si>
  <si>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</si>
  <si>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</si>
  <si>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</si>
  <si>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</si>
  <si>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</si>
  <si>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</si>
  <si>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</si>
  <si>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</si>
  <si>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</si>
  <si>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</si>
  <si>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</si>
  <si>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</si>
  <si>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</si>
  <si>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</si>
  <si>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</si>
  <si>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</si>
  <si>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</si>
  <si>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</si>
  <si>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</si>
  <si>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</si>
  <si>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</si>
  <si>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</si>
  <si>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</si>
  <si>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</si>
  <si>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</si>
  <si>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</si>
  <si>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</si>
  <si>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</si>
  <si>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</si>
  <si>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</si>
  <si>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</si>
  <si>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</si>
  <si>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</si>
  <si>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</si>
  <si>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</si>
  <si>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</si>
  <si>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</si>
  <si>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</si>
  <si>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</si>
  <si>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</si>
  <si>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</si>
  <si>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</si>
  <si>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</si>
  <si>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</si>
  <si>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</si>
  <si>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</si>
  <si>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</si>
  <si>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</si>
  <si>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</si>
  <si>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</si>
  <si>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</si>
  <si>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</si>
  <si>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</si>
  <si>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</si>
  <si>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</si>
  <si>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</si>
  <si>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</si>
  <si>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</si>
  <si>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</si>
  <si>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</si>
  <si>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</si>
  <si>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</si>
  <si>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</si>
  <si>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</si>
  <si>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</si>
  <si>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</si>
  <si>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</si>
  <si>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</si>
  <si>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</si>
  <si>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</si>
  <si>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</si>
  <si>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</si>
  <si>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</si>
  <si>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</si>
  <si>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</si>
  <si>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</si>
  <si>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</si>
  <si>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</si>
  <si>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</si>
  <si>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</si>
  <si>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</si>
  <si>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</si>
  <si>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</si>
  <si>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</si>
  <si>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</si>
  <si>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</si>
  <si>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</si>
  <si>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</si>
  <si>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</si>
  <si>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</si>
  <si>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</si>
  <si>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</si>
  <si>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</si>
  <si>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</si>
  <si>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</si>
  <si>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</si>
  <si>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</si>
  <si>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</si>
  <si>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</si>
  <si>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</si>
  <si>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</si>
  <si>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</si>
  <si>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</si>
  <si>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</si>
  <si>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</si>
  <si>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</si>
  <si>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</si>
  <si>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</si>
  <si>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</si>
  <si>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</si>
  <si>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</si>
  <si>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</si>
  <si>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</si>
  <si>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</si>
  <si>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</si>
  <si>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</si>
  <si>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</si>
  <si>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</si>
  <si>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</si>
  <si>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</si>
  <si>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</si>
  <si>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</si>
  <si>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</si>
  <si>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</si>
  <si>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</si>
  <si>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</si>
  <si>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</si>
  <si>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</si>
  <si>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</si>
  <si>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</si>
  <si>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</si>
  <si>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</si>
  <si>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</si>
  <si>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</si>
  <si>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</si>
  <si>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</si>
  <si>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</si>
  <si>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</si>
  <si>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</si>
  <si>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</si>
  <si>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</si>
  <si>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</si>
  <si>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</si>
  <si>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</si>
  <si>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</si>
  <si>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</si>
  <si>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</si>
  <si>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</si>
  <si>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</si>
  <si>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</si>
  <si>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</si>
  <si>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</si>
  <si>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</si>
  <si>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</si>
  <si>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</si>
  <si>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</si>
  <si>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</si>
  <si>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</si>
  <si>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</si>
  <si>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</si>
  <si>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</si>
  <si>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</si>
  <si>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</si>
  <si>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</si>
  <si>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</si>
  <si>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</si>
  <si>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</si>
  <si>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</si>
  <si>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</si>
  <si>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</si>
  <si>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</si>
  <si>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</si>
  <si>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</si>
  <si>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</si>
  <si>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</si>
  <si>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</si>
  <si>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</si>
  <si>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</si>
  <si>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</si>
  <si>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</si>
  <si>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</si>
  <si>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</si>
  <si>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</si>
  <si>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</si>
  <si>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</si>
  <si>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</si>
  <si>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</si>
  <si>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</si>
  <si>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</si>
  <si>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</si>
  <si>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</si>
  <si>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</si>
  <si>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</si>
  <si>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</si>
  <si>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</si>
  <si>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</si>
  <si>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</si>
  <si>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</si>
  <si>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</si>
  <si>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</si>
  <si>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</si>
  <si>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</si>
  <si>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</si>
  <si>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</si>
  <si>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</si>
  <si>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</si>
  <si>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</si>
  <si>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</si>
  <si>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</si>
  <si>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</si>
  <si>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</si>
  <si>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</si>
  <si>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</si>
  <si>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</si>
  <si>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</si>
  <si>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</si>
  <si>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</si>
  <si>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</si>
  <si>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</si>
  <si>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</si>
  <si>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</si>
  <si>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</si>
  <si>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</si>
  <si>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</si>
  <si>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</si>
  <si>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</si>
  <si>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</si>
  <si>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</si>
  <si>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</si>
  <si>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</si>
  <si>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</si>
  <si>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</si>
  <si>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</si>
  <si>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</si>
  <si>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</si>
  <si>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</si>
  <si>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</si>
  <si>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</si>
  <si>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</si>
  <si>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</si>
  <si>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</si>
  <si>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</si>
  <si>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</si>
  <si>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</si>
  <si>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</si>
  <si>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</si>
  <si>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</si>
  <si>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</si>
  <si>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</si>
  <si>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</si>
  <si>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</si>
  <si>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</si>
  <si>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</si>
  <si>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</si>
  <si>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</si>
  <si>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</si>
  <si>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</si>
  <si>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</si>
  <si>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</si>
  <si>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</si>
  <si>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</si>
  <si>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</si>
  <si>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</si>
  <si>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</si>
  <si>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</si>
  <si>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</si>
  <si>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</si>
  <si>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</si>
  <si>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</si>
  <si>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</si>
  <si>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</si>
  <si>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</si>
  <si>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</si>
  <si>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</si>
  <si>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</si>
  <si>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</si>
  <si>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</si>
  <si>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</si>
  <si>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</si>
  <si>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</si>
  <si>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</si>
  <si>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</si>
  <si>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</si>
  <si>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</si>
  <si>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</si>
  <si>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</si>
  <si>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</si>
  <si>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</si>
  <si>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</si>
  <si>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</si>
  <si>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</si>
  <si>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</si>
  <si>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</si>
  <si>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</si>
  <si>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</si>
  <si>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</si>
  <si>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</si>
  <si>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</si>
  <si>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</si>
  <si>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</si>
  <si>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</si>
  <si>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</si>
  <si>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</si>
  <si>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</si>
  <si>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</si>
  <si>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</si>
  <si>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</si>
  <si>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</si>
  <si>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</si>
  <si>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</si>
  <si>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</si>
  <si>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</si>
  <si>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</si>
  <si>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</si>
  <si>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</si>
  <si>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</si>
  <si>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</si>
  <si>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</si>
  <si>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</si>
  <si>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</si>
  <si>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</si>
  <si>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</si>
  <si>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</si>
  <si>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</si>
  <si>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</si>
  <si>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</si>
  <si>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</si>
  <si>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</si>
  <si>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</si>
  <si>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</si>
  <si>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</si>
  <si>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</si>
  <si>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</si>
  <si>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</si>
  <si>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</si>
  <si>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</si>
  <si>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</si>
  <si>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</si>
  <si>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</si>
  <si>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</si>
  <si>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</si>
  <si>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</si>
  <si>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</si>
  <si>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</si>
  <si>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</si>
  <si>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</si>
  <si>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</si>
  <si>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</si>
  <si>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</si>
  <si>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</si>
  <si>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</si>
  <si>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</si>
  <si>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</si>
  <si>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</si>
  <si>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</si>
  <si>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</si>
  <si>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</si>
  <si>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</si>
  <si>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</si>
  <si>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</si>
  <si>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</si>
  <si>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</si>
  <si>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</si>
  <si>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</si>
  <si>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</si>
  <si>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</si>
  <si>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</si>
  <si>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</si>
  <si>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</si>
  <si>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</si>
  <si>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</si>
  <si>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</si>
  <si>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</si>
  <si>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</si>
  <si>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</si>
  <si>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</si>
  <si>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</si>
  <si>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</si>
  <si>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</si>
  <si>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</si>
  <si>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</si>
  <si>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</si>
  <si>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</si>
  <si>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</si>
  <si>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</si>
  <si>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</si>
  <si>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</si>
  <si>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</si>
  <si>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</si>
  <si>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</si>
  <si>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</si>
  <si>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</si>
  <si>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</si>
  <si>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</si>
  <si>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</si>
  <si>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</si>
  <si>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</si>
  <si>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</si>
  <si>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</si>
  <si>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</si>
  <si>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</si>
  <si>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</si>
  <si>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</si>
  <si>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</si>
  <si>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</si>
  <si>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</si>
  <si>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</si>
  <si>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</si>
  <si>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</si>
  <si>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</si>
  <si>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</si>
  <si>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</si>
  <si>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</si>
  <si>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</si>
  <si>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</si>
  <si>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</si>
  <si>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</si>
  <si>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</si>
  <si>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</si>
  <si>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</si>
  <si>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</si>
  <si>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</si>
  <si>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</si>
  <si>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</si>
  <si>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</si>
  <si>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</si>
  <si>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</si>
  <si>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</si>
  <si>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</si>
  <si>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</si>
  <si>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</si>
  <si>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</si>
  <si>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</si>
  <si>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</si>
  <si>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</si>
  <si>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</si>
  <si>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</si>
  <si>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</si>
  <si>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</si>
  <si>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</si>
  <si>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</si>
  <si>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</si>
  <si>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</si>
  <si>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</si>
  <si>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</si>
  <si>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</si>
  <si>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</si>
  <si>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</si>
  <si>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</si>
  <si>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</si>
  <si>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</si>
  <si>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</si>
  <si>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</si>
  <si>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</si>
  <si>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</si>
  <si>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</si>
  <si>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</si>
  <si>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</si>
  <si>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</si>
  <si>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</si>
  <si>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</si>
  <si>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</si>
  <si>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</si>
  <si>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</si>
  <si>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</si>
  <si>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</si>
  <si>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</si>
  <si>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</si>
  <si>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</si>
  <si>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</si>
  <si>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</si>
  <si>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</si>
  <si>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</si>
  <si>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</si>
  <si>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</si>
  <si>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</si>
  <si>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</si>
  <si>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</si>
  <si>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</si>
  <si>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</si>
  <si>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</si>
  <si>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</si>
  <si>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</si>
  <si>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</si>
  <si>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</si>
  <si>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</si>
  <si>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</si>
  <si>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</si>
  <si>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</si>
  <si>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</si>
  <si>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</si>
  <si>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</si>
  <si>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</si>
  <si>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</si>
  <si>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</si>
  <si>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</si>
  <si>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</si>
  <si>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</si>
  <si>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</si>
  <si>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</si>
  <si>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</si>
  <si>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</si>
  <si>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</si>
  <si>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</si>
  <si>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</si>
  <si>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</si>
  <si>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</si>
  <si>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</si>
  <si>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</si>
  <si>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</si>
  <si>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</si>
  <si>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</si>
  <si>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</si>
  <si>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</si>
  <si>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</si>
  <si>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</si>
  <si>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</si>
  <si>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</si>
  <si>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</si>
  <si>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</si>
  <si>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</si>
  <si>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</si>
  <si>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</si>
  <si>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</si>
  <si>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</si>
  <si>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</si>
  <si>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</si>
  <si>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</si>
  <si>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</si>
  <si>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</si>
  <si>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</si>
  <si>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</si>
  <si>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</si>
  <si>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</si>
  <si>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</si>
  <si>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</si>
  <si>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</si>
  <si>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</si>
  <si>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</si>
  <si>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</si>
  <si>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</si>
  <si>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</si>
  <si>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</si>
  <si>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</si>
  <si>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</si>
  <si>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</si>
  <si>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</si>
  <si>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</si>
  <si>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</si>
  <si>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</si>
  <si>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</si>
  <si>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</si>
  <si>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</si>
  <si>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</si>
  <si>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</si>
  <si>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</si>
  <si>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</si>
  <si>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</si>
  <si>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</si>
  <si>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</si>
  <si>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</si>
  <si>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</si>
  <si>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</si>
  <si>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</si>
  <si>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</si>
  <si>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</si>
  <si>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</si>
  <si>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</si>
  <si>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</si>
  <si>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</si>
  <si>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</si>
  <si>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</si>
  <si>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</si>
  <si>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</si>
  <si>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</si>
  <si>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</si>
  <si>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</si>
  <si>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</si>
  <si>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</si>
  <si>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</si>
  <si>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</si>
  <si>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</si>
  <si>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</si>
  <si>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</si>
  <si>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</si>
  <si>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</si>
  <si>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</si>
  <si>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</si>
  <si>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</si>
  <si>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</si>
  <si>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</si>
  <si>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</si>
  <si>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</si>
  <si>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</si>
  <si>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</si>
  <si>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</si>
  <si>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</si>
  <si>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</si>
  <si>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</si>
  <si>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</si>
  <si>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</si>
  <si>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</si>
  <si>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</si>
  <si>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</si>
  <si>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</si>
  <si>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</si>
  <si>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</si>
  <si>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</si>
  <si>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</si>
  <si>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</si>
  <si>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</si>
  <si>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</si>
  <si>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</si>
  <si>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</si>
  <si>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</si>
  <si>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</si>
  <si>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</si>
  <si>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</si>
  <si>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</si>
  <si>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</si>
  <si>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</si>
  <si>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</si>
  <si>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</si>
  <si>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</si>
  <si>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</si>
  <si>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</si>
  <si>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</si>
  <si>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</si>
  <si>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</si>
  <si>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</si>
  <si>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</si>
  <si>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</si>
  <si>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</si>
  <si>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</si>
  <si>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</si>
  <si>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</si>
  <si>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</si>
  <si>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</si>
  <si>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</si>
  <si>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</si>
  <si>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</si>
  <si>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</si>
  <si>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</si>
  <si>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</si>
  <si>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</si>
  <si>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</si>
  <si>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</si>
  <si>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</si>
  <si>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</si>
  <si>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</si>
  <si>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</si>
  <si>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</si>
  <si>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</si>
  <si>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</si>
  <si>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</si>
  <si>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</si>
  <si>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</si>
  <si>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</si>
  <si>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</si>
  <si>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</si>
  <si>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</si>
  <si>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</si>
  <si>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</si>
  <si>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</si>
  <si>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</si>
  <si>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</si>
  <si>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</si>
  <si>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</si>
  <si>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</si>
  <si>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</si>
  <si>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</si>
  <si>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</si>
  <si>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</si>
  <si>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</si>
  <si>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</si>
  <si>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</si>
  <si>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</si>
  <si>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</si>
  <si>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</si>
  <si>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</si>
  <si>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</si>
  <si>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</si>
  <si>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</si>
  <si>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</si>
  <si>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</si>
  <si>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</si>
  <si>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</si>
  <si>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</si>
  <si>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</si>
  <si>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</si>
  <si>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</si>
  <si>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</si>
  <si>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</si>
  <si>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</si>
  <si>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</si>
  <si>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</si>
  <si>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</si>
  <si>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</si>
  <si>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</si>
  <si>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</si>
  <si>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</si>
  <si>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</si>
  <si>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</si>
  <si>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</si>
  <si>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</si>
  <si>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</si>
  <si>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</si>
  <si>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</si>
  <si>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</si>
  <si>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</si>
  <si>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</si>
  <si>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</si>
  <si>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</si>
  <si>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</si>
  <si>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</si>
  <si>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</si>
  <si>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</si>
  <si>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</si>
  <si>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</si>
  <si>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</si>
  <si>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</si>
  <si>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</si>
  <si>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</si>
  <si>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</si>
  <si>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</si>
  <si>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</si>
  <si>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</si>
  <si>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</si>
  <si>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</si>
  <si>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</si>
  <si>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</si>
  <si>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</si>
  <si>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</si>
  <si>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</si>
  <si>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</si>
  <si>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</si>
  <si>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</si>
  <si>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</si>
  <si>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</si>
  <si>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</si>
  <si>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</si>
  <si>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</si>
  <si>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</si>
  <si>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</si>
  <si>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</si>
  <si>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</si>
  <si>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</si>
  <si>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</si>
  <si>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</si>
  <si>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</si>
  <si>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</si>
  <si>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</si>
  <si>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</si>
  <si>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</si>
  <si>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</si>
  <si>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</si>
  <si>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</si>
  <si>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</si>
  <si>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</si>
  <si>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</si>
  <si>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</si>
  <si>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</si>
  <si>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</si>
  <si>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</si>
  <si>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</si>
  <si>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</si>
  <si>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</si>
  <si>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</si>
  <si>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</si>
  <si>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</si>
  <si>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</si>
  <si>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</si>
  <si>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</si>
  <si>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</si>
  <si>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</si>
  <si>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</si>
  <si>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</si>
  <si>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</si>
  <si>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</si>
  <si>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</si>
  <si>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</si>
  <si>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</si>
  <si>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</si>
  <si>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</si>
  <si>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</si>
  <si>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</si>
  <si>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</si>
  <si>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</si>
  <si>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</si>
  <si>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</si>
  <si>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</si>
  <si>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</si>
  <si>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</si>
  <si>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</si>
  <si>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</si>
  <si>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</si>
  <si>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</si>
  <si>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</si>
  <si>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</si>
  <si>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</si>
  <si>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</si>
  <si>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</si>
  <si>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</si>
  <si>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</si>
  <si>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</si>
  <si>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</si>
  <si>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</si>
  <si>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</si>
  <si>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</si>
  <si>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</si>
  <si>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</si>
  <si>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</si>
  <si>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</si>
  <si>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</si>
  <si>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</si>
  <si>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</si>
  <si>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</si>
  <si>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</si>
  <si>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</si>
  <si>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</si>
  <si>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</si>
  <si>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</si>
  <si>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</si>
  <si>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</si>
  <si>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</si>
  <si>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</si>
  <si>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</si>
  <si>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</si>
  <si>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</si>
  <si>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</si>
  <si>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</si>
  <si>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</si>
  <si>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</si>
  <si>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</si>
  <si>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</si>
  <si>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</si>
  <si>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</si>
  <si>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</si>
  <si>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</si>
  <si>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</si>
  <si>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</si>
  <si>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</si>
  <si>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</si>
  <si>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</si>
  <si>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</si>
  <si>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</si>
  <si>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</si>
  <si>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</si>
  <si>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</si>
  <si>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</si>
  <si>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</si>
  <si>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</si>
  <si>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</si>
  <si>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</si>
  <si>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</si>
  <si>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</si>
  <si>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</si>
  <si>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</si>
  <si>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</si>
  <si>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</si>
  <si>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</si>
  <si>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</si>
  <si>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</si>
  <si>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</si>
  <si>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</si>
  <si>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</si>
  <si>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</si>
  <si>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</si>
  <si>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</si>
  <si>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</si>
  <si>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</si>
  <si>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</si>
  <si>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</si>
  <si>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</si>
  <si>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</si>
  <si>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</si>
  <si>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</si>
  <si>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</si>
  <si>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</si>
  <si>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</si>
  <si>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</si>
  <si>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</si>
  <si>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</si>
  <si>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</si>
  <si>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</si>
  <si>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</si>
  <si>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</si>
  <si>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</si>
  <si>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</si>
  <si>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</si>
  <si>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</si>
  <si>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</si>
  <si>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</si>
  <si>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</si>
  <si>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</si>
  <si>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</si>
  <si>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</si>
  <si>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</si>
  <si>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</si>
  <si>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</si>
  <si>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</si>
  <si>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</si>
  <si>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</si>
  <si>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</si>
  <si>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</si>
  <si>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</si>
  <si>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</si>
  <si>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</si>
  <si>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</si>
  <si>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</si>
  <si>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</si>
  <si>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</si>
  <si>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</si>
  <si>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</si>
  <si>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</si>
  <si>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</si>
  <si>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</si>
  <si>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</si>
  <si>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</si>
  <si>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</si>
  <si>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</si>
  <si>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</si>
  <si>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</si>
  <si>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</si>
  <si>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</si>
  <si>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</si>
  <si>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</si>
  <si>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</si>
  <si>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</si>
  <si>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</si>
  <si>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</si>
  <si>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</si>
  <si>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</si>
  <si>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</si>
  <si>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</si>
  <si>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</si>
  <si>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</si>
  <si>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</si>
  <si>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</si>
  <si>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</si>
  <si>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</si>
  <si>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</si>
  <si>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</si>
  <si>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</si>
  <si>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</si>
  <si>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</si>
  <si>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</si>
  <si>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</si>
  <si>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</si>
  <si>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</si>
  <si>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</si>
  <si>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</si>
  <si>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</si>
  <si>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</si>
  <si>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</si>
  <si>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</si>
  <si>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</si>
  <si>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</si>
  <si>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</si>
  <si>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</si>
  <si>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</si>
  <si>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</si>
  <si>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</si>
  <si>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</si>
  <si>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</si>
  <si>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</si>
  <si>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</si>
  <si>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</si>
  <si>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</si>
  <si>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</si>
  <si>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</si>
  <si>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</si>
  <si>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17/10/1397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</si>
  <si>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</si>
  <si>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</si>
  <si>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</si>
  <si>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</si>
  <si>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</si>
  <si>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</si>
  <si>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</si>
  <si>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</si>
  <si>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</si>
  <si>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</si>
  <si>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</si>
  <si>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</si>
  <si>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</si>
  <si>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</si>
  <si>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</si>
  <si>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</si>
  <si>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</si>
  <si>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</si>
  <si>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</si>
  <si>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</si>
  <si>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</si>
  <si>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</si>
  <si>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</si>
  <si>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</si>
  <si>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</si>
  <si>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</si>
  <si>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</si>
  <si>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</si>
  <si>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</si>
  <si>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</si>
  <si>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</si>
  <si>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</si>
  <si>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</si>
  <si>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</si>
  <si>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</si>
  <si>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</si>
  <si>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</si>
  <si>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</si>
  <si>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</si>
  <si>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</si>
  <si>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</si>
  <si>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</si>
  <si>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</si>
  <si>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</si>
  <si>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</si>
  <si>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</si>
  <si>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</si>
  <si>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</si>
  <si>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</si>
  <si>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</si>
  <si>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</si>
  <si>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</si>
  <si>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</si>
  <si>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</si>
  <si>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</si>
  <si>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</si>
  <si>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</si>
  <si>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</si>
  <si>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</si>
  <si>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</si>
  <si>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</si>
  <si>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</si>
  <si>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</si>
  <si>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</si>
  <si>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</si>
  <si>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</si>
  <si>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</si>
  <si>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</si>
  <si>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</si>
  <si>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</si>
  <si>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</si>
  <si>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</si>
  <si>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</si>
  <si>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</si>
  <si>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</si>
  <si>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</si>
  <si>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</si>
  <si>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</si>
  <si>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</si>
  <si>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</si>
  <si>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</si>
  <si>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</si>
  <si>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</si>
  <si>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</si>
  <si>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</si>
  <si>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</si>
  <si>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</si>
  <si>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</si>
  <si>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</si>
  <si>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</si>
  <si>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</si>
  <si>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</si>
  <si>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</si>
  <si>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</si>
  <si>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</si>
  <si>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</si>
  <si>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</si>
  <si>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</si>
  <si>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</si>
  <si>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</si>
  <si>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</si>
  <si>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</si>
  <si>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</si>
  <si>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</si>
  <si>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</si>
  <si>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</si>
  <si>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</si>
  <si>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</si>
  <si>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</si>
  <si>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</si>
  <si>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</si>
  <si>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</si>
  <si>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</si>
  <si>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</si>
  <si>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</si>
  <si>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</si>
  <si>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</si>
  <si>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</si>
  <si>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</si>
  <si>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</si>
  <si>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</si>
  <si>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</si>
  <si>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</si>
  <si>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</si>
  <si>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</si>
  <si>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</si>
  <si>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</si>
  <si>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</si>
  <si>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</si>
  <si>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</si>
  <si>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</si>
  <si>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</si>
  <si>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</si>
  <si>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</si>
  <si>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</si>
  <si>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</si>
  <si>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</si>
  <si>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</si>
  <si>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</si>
  <si>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</si>
  <si>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</si>
  <si>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</si>
  <si>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</si>
  <si>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</si>
  <si>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</si>
  <si>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</si>
  <si>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</si>
  <si>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</si>
  <si>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</si>
  <si>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</si>
  <si>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</si>
  <si>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</si>
  <si>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</si>
  <si>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</si>
  <si>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</si>
  <si>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</si>
  <si>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</si>
  <si>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</si>
  <si>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</si>
  <si>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</si>
  <si>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</si>
  <si>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</si>
  <si>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</si>
  <si>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</si>
  <si>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</si>
  <si>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</si>
  <si>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</si>
  <si>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</si>
  <si>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</si>
  <si>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</si>
  <si>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</si>
  <si>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</si>
  <si>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</si>
  <si>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</si>
  <si>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</si>
  <si>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</si>
  <si>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</si>
  <si>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</si>
  <si>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</si>
  <si>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</si>
  <si>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</si>
  <si>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</si>
  <si>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</si>
  <si>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</si>
  <si>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</si>
  <si>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</si>
  <si>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</si>
  <si>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</si>
  <si>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</si>
  <si>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</si>
  <si>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</si>
  <si>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</si>
  <si>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</si>
  <si>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</si>
  <si>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</si>
  <si>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</si>
  <si>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</si>
  <si>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</si>
  <si>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</si>
  <si>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</si>
  <si>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</si>
  <si>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</si>
  <si>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</si>
  <si>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</si>
  <si>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</si>
  <si>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</si>
  <si>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</si>
  <si>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</si>
  <si>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</si>
  <si>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</si>
  <si>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</si>
  <si>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</si>
  <si>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</si>
  <si>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</si>
  <si>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</si>
  <si>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</si>
  <si>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</si>
  <si>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</si>
  <si>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</si>
  <si>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</si>
  <si>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</si>
  <si>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</si>
  <si>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</si>
  <si>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</si>
  <si>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</si>
  <si>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</si>
  <si>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</si>
  <si>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</si>
  <si>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</si>
  <si>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</si>
  <si>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</si>
  <si>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</si>
  <si>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</si>
  <si>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</si>
  <si>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</si>
  <si>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</si>
  <si>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</si>
  <si>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</si>
  <si>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</si>
  <si>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</si>
  <si>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</si>
  <si>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</si>
  <si>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</si>
  <si>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</si>
  <si>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</si>
  <si>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</si>
  <si>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</si>
  <si>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</si>
  <si>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</si>
  <si>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</si>
  <si>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</si>
  <si>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</si>
  <si>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</si>
  <si>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</si>
  <si>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</si>
  <si>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</si>
  <si>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</si>
  <si>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</si>
  <si>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</si>
  <si>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</si>
  <si>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</si>
  <si>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</si>
  <si>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</si>
  <si>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</si>
  <si>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</si>
  <si>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</si>
  <si>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</si>
  <si>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</si>
  <si>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</si>
  <si>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</si>
  <si>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</si>
  <si>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</si>
  <si>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</si>
  <si>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</si>
  <si>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</si>
  <si>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</si>
  <si>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</si>
  <si>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</si>
  <si>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</si>
  <si>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</si>
  <si>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</si>
  <si>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</si>
  <si>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</si>
  <si>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</si>
  <si>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</si>
  <si>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</si>
  <si>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</si>
  <si>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</si>
  <si>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</si>
  <si>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</si>
  <si>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</si>
  <si>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</si>
  <si>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</si>
  <si>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</si>
  <si>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</si>
  <si>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</si>
  <si>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</si>
  <si>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</si>
  <si>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</si>
  <si>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</si>
  <si>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</si>
  <si>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</si>
  <si>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</si>
  <si>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</si>
  <si>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</si>
  <si>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</si>
  <si>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</si>
  <si>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</si>
  <si>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</si>
  <si>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</si>
  <si>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</si>
  <si>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</si>
  <si>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</si>
  <si>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</si>
  <si>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</si>
  <si>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</si>
  <si>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</si>
  <si>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</si>
  <si>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</si>
  <si>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</si>
  <si>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</si>
  <si>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</si>
  <si>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</si>
  <si>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</si>
  <si>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</si>
  <si>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</si>
  <si>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</si>
  <si>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</si>
  <si>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</si>
  <si>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</si>
  <si>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</si>
  <si>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</si>
  <si>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</si>
  <si>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</si>
  <si>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</si>
  <si>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</si>
  <si>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</si>
  <si>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</si>
  <si>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</si>
  <si>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</si>
  <si>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</si>
  <si>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</si>
  <si>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</si>
  <si>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</si>
  <si>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</si>
  <si>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</si>
  <si>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</si>
  <si>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</si>
  <si>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</si>
  <si>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</si>
  <si>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</si>
  <si>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</si>
  <si>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</si>
  <si>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</si>
  <si>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</si>
  <si>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</si>
  <si>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</si>
  <si>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</si>
  <si>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</si>
  <si>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</si>
  <si>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</si>
  <si>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</si>
  <si>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</si>
  <si>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</si>
  <si>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</si>
  <si>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</si>
  <si>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</si>
  <si>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</si>
  <si>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</si>
  <si>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</si>
  <si>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</si>
  <si>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</si>
  <si>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</si>
  <si>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</si>
  <si>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</si>
  <si>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</si>
  <si>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</si>
  <si>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</si>
  <si>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</si>
  <si>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</si>
  <si>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</si>
  <si>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</si>
  <si>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</si>
  <si>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</si>
  <si>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</si>
  <si>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</si>
  <si>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</si>
  <si>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</si>
  <si>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</si>
  <si>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</si>
  <si>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</si>
  <si>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</si>
  <si>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</si>
  <si>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</si>
  <si>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</si>
  <si>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</si>
  <si>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</si>
  <si>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</si>
  <si>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</si>
  <si>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</si>
  <si>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</si>
  <si>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</si>
  <si>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</si>
  <si>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</si>
  <si>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</si>
  <si>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</si>
  <si>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</si>
  <si>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</si>
  <si>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</si>
  <si>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</si>
  <si>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</si>
  <si>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</si>
  <si>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</si>
  <si>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</si>
  <si>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</si>
  <si>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</si>
  <si>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</si>
  <si>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</si>
  <si>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</si>
  <si>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</si>
  <si>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</si>
  <si>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</si>
  <si>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</si>
  <si>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</si>
  <si>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</si>
  <si>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</si>
  <si>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</si>
  <si>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</si>
  <si>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</si>
  <si>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</si>
  <si>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</si>
  <si>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</si>
  <si>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</si>
  <si>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</si>
  <si>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</si>
  <si>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</si>
  <si>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</si>
  <si>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</si>
  <si>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</si>
  <si>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</si>
  <si>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</si>
  <si>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</si>
  <si>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</si>
  <si>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</si>
  <si>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</si>
  <si>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</si>
  <si>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</si>
  <si>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</si>
  <si>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</si>
  <si>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</si>
  <si>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</si>
  <si>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</si>
  <si>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</si>
  <si>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</si>
  <si>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</si>
  <si>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وغدیر 571 تا 197.7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</si>
  <si>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</si>
  <si>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</si>
  <si>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</si>
  <si>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</si>
  <si>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</si>
  <si>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</si>
  <si>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</si>
  <si>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</si>
  <si>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</si>
  <si>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</si>
  <si>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</si>
  <si>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</si>
  <si>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واریز 115 به حساب علی و مریم</t>
  </si>
  <si>
    <t>6/3/1398</t>
  </si>
  <si>
    <t>7/3/1398</t>
  </si>
  <si>
    <t>وغدیر 4000 تا 198.1</t>
  </si>
  <si>
    <t>واریز 900 هزار تومن حساب علی</t>
  </si>
  <si>
    <t>8/3/1398</t>
  </si>
  <si>
    <t>وغدیر 519 تا 200</t>
  </si>
  <si>
    <t>وغدیر 521 تا 199.8</t>
  </si>
  <si>
    <t>وغدیر 2000 تا 199.3</t>
  </si>
  <si>
    <t>واریز 50 هزار حساب مریم و 241774 حساب علی</t>
  </si>
  <si>
    <t>از ملت مریم به بورس علی</t>
  </si>
  <si>
    <t>بدهی به مهدی 9/3/98</t>
  </si>
  <si>
    <t>11/3/1398</t>
  </si>
  <si>
    <t>شاراک 160 تا 739.4</t>
  </si>
  <si>
    <t>وغدیر 595 تا 199.5</t>
  </si>
  <si>
    <t>9/3/1398</t>
  </si>
  <si>
    <t>10/3/1398</t>
  </si>
  <si>
    <t>واریز عجبشیری</t>
  </si>
  <si>
    <t>پرداخت به عجبشیری</t>
  </si>
  <si>
    <t>12/3/1398</t>
  </si>
  <si>
    <t>وغدیر 29740 تا 197.4</t>
  </si>
  <si>
    <t>واریز 5701774 حساب علی و 50000 حساب مریم</t>
  </si>
  <si>
    <t>13/3/1398</t>
  </si>
  <si>
    <t>فاصله تا روز بعد</t>
  </si>
  <si>
    <t>جمع</t>
  </si>
  <si>
    <t>قرض از مهدی</t>
  </si>
  <si>
    <t>طلب از رضا 13/3/1398</t>
  </si>
  <si>
    <t>زاگرس 23 تا 4720.8</t>
  </si>
  <si>
    <t>زاگرس 23 تا 4720.7</t>
  </si>
  <si>
    <t>شلرد آخر آذر بهره برداری</t>
  </si>
  <si>
    <t>واریز 25000 تومن حساب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</si>
</sst>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9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0" fillId="38" borderId="1" xfId="0" applyFill="1" applyBorder="1" applyAlignment="1">
      <alignment horizontal="center"/>
    </xf>
    <xf numFmtId="164" fontId="0" fillId="38" borderId="1" xfId="0" applyNumberFormat="1" applyFill="1" applyBorder="1" applyAlignment="1">
      <alignment horizontal="center"/>
    </xf>
    <xf numFmtId="164" fontId="0" fillId="38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0"/>
  <sheetViews>
    <sheetView workbookViewId="0">
      <selection activeCell="N10" sqref="N10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  <col min="13" max="13" width="11.28515625" bestFit="1" customWidth="1"/>
    <col min="14" max="14" width="14.140625" bestFit="1" customWidth="1"/>
    <col min="15" max="15" width="12.85546875" bestFit="1" customWidth="1"/>
  </cols>
  <sheetData>
    <row r="1" spans="1:18">
      <c r="A1" s="99" t="s">
        <v>4960</v>
      </c>
      <c r="B1" s="99" t="s">
        <v>4961</v>
      </c>
      <c r="C1" s="99" t="s">
        <v>4962</v>
      </c>
      <c r="D1" s="99" t="s">
        <v>4963</v>
      </c>
      <c r="E1" s="99" t="s">
        <v>4973</v>
      </c>
      <c r="F1" s="99" t="s">
        <v>4972</v>
      </c>
      <c r="G1" s="99"/>
      <c r="I1" t="s">
        <v>4965</v>
      </c>
      <c r="J1" t="s">
        <v>4969</v>
      </c>
      <c r="K1" t="s">
        <v>4970</v>
      </c>
    </row>
    <row r="2" spans="1:18">
      <c r="A2" s="99" t="s">
        <v>4964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8">
      <c r="A3" s="99" t="s">
        <v>4966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8">
      <c r="A4" s="99" t="s">
        <v>4967</v>
      </c>
      <c r="B4" s="99">
        <v>560000000</v>
      </c>
      <c r="C4" s="99">
        <v>25</v>
      </c>
      <c r="D4" s="99">
        <f t="shared" si="0"/>
        <v>0.19444444444444445</v>
      </c>
      <c r="E4" s="99"/>
      <c r="F4" s="99"/>
      <c r="G4" s="99"/>
    </row>
    <row r="5" spans="1:18">
      <c r="A5" s="99" t="s">
        <v>4968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8">
      <c r="A6" s="23"/>
      <c r="B6" s="23"/>
      <c r="C6" s="23"/>
      <c r="D6" s="23">
        <f t="shared" si="0"/>
        <v>0</v>
      </c>
      <c r="E6" s="23"/>
      <c r="F6" s="23"/>
      <c r="G6" s="23"/>
    </row>
    <row r="7" spans="1:18">
      <c r="A7" s="99" t="s">
        <v>4964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8">
      <c r="A8" s="99" t="s">
        <v>4971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8">
      <c r="A9" s="99" t="s">
        <v>4968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8">
      <c r="A10" s="99" t="s">
        <v>4974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8">
      <c r="A11" s="99" t="s">
        <v>4975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8">
      <c r="A12" s="99" t="s">
        <v>4976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  <c r="M12" t="s">
        <v>5076</v>
      </c>
    </row>
    <row r="13" spans="1:18">
      <c r="A13" s="99" t="s">
        <v>4977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  <c r="M13" s="99" t="s">
        <v>180</v>
      </c>
      <c r="N13" s="99" t="s">
        <v>267</v>
      </c>
      <c r="O13" s="99" t="s">
        <v>5074</v>
      </c>
      <c r="P13" s="99"/>
      <c r="Q13" s="99"/>
      <c r="R13" s="99"/>
    </row>
    <row r="14" spans="1:18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  <c r="M14" s="99" t="s">
        <v>5066</v>
      </c>
      <c r="N14" s="18">
        <v>7500000</v>
      </c>
      <c r="O14" s="99">
        <v>4</v>
      </c>
      <c r="P14" s="99"/>
      <c r="Q14" s="99"/>
      <c r="R14" s="99"/>
    </row>
    <row r="15" spans="1:18">
      <c r="A15" s="99" t="s">
        <v>4978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  <c r="M15" s="99" t="s">
        <v>5073</v>
      </c>
      <c r="N15" s="18">
        <v>-500000</v>
      </c>
      <c r="O15" s="99">
        <v>1</v>
      </c>
      <c r="P15" s="99"/>
      <c r="Q15" s="99"/>
      <c r="R15" s="99"/>
    </row>
    <row r="16" spans="1:18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  <c r="M16" s="99"/>
      <c r="N16" s="18"/>
      <c r="O16" s="99"/>
      <c r="P16" s="99"/>
      <c r="Q16" s="99"/>
      <c r="R16" s="99"/>
    </row>
    <row r="17" spans="1:18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  <c r="M17" s="99"/>
      <c r="N17" s="18"/>
      <c r="O17" s="99"/>
      <c r="P17" s="99"/>
      <c r="Q17" s="99"/>
      <c r="R17" s="99"/>
    </row>
    <row r="18" spans="1:18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  <c r="M18" s="99"/>
      <c r="N18" s="18"/>
      <c r="O18" s="99"/>
      <c r="P18" s="99"/>
      <c r="Q18" s="99"/>
      <c r="R18" s="99"/>
    </row>
    <row r="19" spans="1:18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  <c r="M19" s="99"/>
      <c r="N19" s="18"/>
      <c r="O19" s="99"/>
      <c r="P19" s="99"/>
      <c r="Q19" s="99"/>
      <c r="R19" s="99"/>
    </row>
    <row r="20" spans="1:18">
      <c r="A20" s="99"/>
      <c r="B20" s="99"/>
      <c r="C20" s="99"/>
      <c r="D20" s="99"/>
      <c r="E20" s="99"/>
      <c r="F20" s="99"/>
      <c r="G20" s="99"/>
      <c r="M20" s="99"/>
      <c r="N20" s="18"/>
      <c r="O20" s="99"/>
      <c r="P20" s="99"/>
      <c r="Q20" s="99"/>
      <c r="R20" s="99"/>
    </row>
    <row r="21" spans="1:18">
      <c r="A21" s="99"/>
      <c r="B21" s="99"/>
      <c r="C21" s="99"/>
      <c r="D21" s="99">
        <f>SUM(D2:D15)</f>
        <v>65.904686824052433</v>
      </c>
      <c r="E21" s="99"/>
      <c r="F21" s="99"/>
      <c r="G21" s="99"/>
      <c r="M21" s="99"/>
      <c r="N21" s="18"/>
      <c r="O21" s="99"/>
      <c r="P21" s="99"/>
      <c r="Q21" s="99"/>
      <c r="R21" s="99"/>
    </row>
    <row r="22" spans="1:18">
      <c r="A22" s="99"/>
      <c r="B22" s="99"/>
      <c r="C22" s="99"/>
      <c r="D22" s="99"/>
      <c r="E22" s="99"/>
      <c r="F22" s="99"/>
      <c r="G22" s="99"/>
      <c r="M22" s="99"/>
      <c r="N22" s="18"/>
      <c r="O22" s="99"/>
      <c r="P22" s="99"/>
      <c r="Q22" s="99"/>
      <c r="R22" s="99"/>
    </row>
    <row r="23" spans="1:18">
      <c r="A23" s="99"/>
      <c r="B23" s="99"/>
      <c r="C23" s="99"/>
      <c r="D23" s="99"/>
      <c r="E23" s="99"/>
      <c r="F23" s="99"/>
      <c r="G23" s="99"/>
      <c r="M23" s="99"/>
      <c r="N23" s="18"/>
      <c r="O23" s="99"/>
      <c r="P23" s="99"/>
      <c r="Q23" s="99"/>
      <c r="R23" s="99"/>
    </row>
    <row r="24" spans="1:18">
      <c r="A24" s="99"/>
      <c r="B24" s="99"/>
      <c r="C24" s="99"/>
      <c r="D24" s="99"/>
      <c r="E24" s="99"/>
      <c r="F24" s="99"/>
      <c r="G24" s="99"/>
      <c r="M24" s="99"/>
      <c r="N24" s="18"/>
      <c r="O24" s="99"/>
      <c r="P24" s="99"/>
      <c r="Q24" s="99"/>
      <c r="R24" s="99"/>
    </row>
    <row r="25" spans="1:18">
      <c r="M25" s="99"/>
      <c r="N25" s="18"/>
      <c r="O25" s="99"/>
      <c r="P25" s="99"/>
      <c r="Q25" s="99"/>
      <c r="R25" s="99"/>
    </row>
    <row r="26" spans="1:18">
      <c r="M26" s="99"/>
      <c r="N26" s="18"/>
      <c r="O26" s="99"/>
      <c r="P26" s="99"/>
      <c r="Q26" s="99"/>
      <c r="R26" s="99"/>
    </row>
    <row r="27" spans="1:18">
      <c r="M27" s="99"/>
      <c r="N27" s="18"/>
      <c r="O27" s="99"/>
      <c r="P27" s="99"/>
      <c r="Q27" s="99"/>
      <c r="R27" s="99"/>
    </row>
    <row r="28" spans="1:18">
      <c r="C28">
        <v>2.23E-2</v>
      </c>
      <c r="D28">
        <f>C28*12</f>
        <v>0.2676</v>
      </c>
      <c r="M28" s="99"/>
      <c r="N28" s="18"/>
      <c r="O28" s="99"/>
      <c r="P28" s="99"/>
      <c r="Q28" s="99"/>
      <c r="R28" s="99"/>
    </row>
    <row r="29" spans="1:18">
      <c r="C29" t="s">
        <v>5035</v>
      </c>
      <c r="D29" t="s">
        <v>5034</v>
      </c>
      <c r="M29" s="99"/>
      <c r="N29" s="18">
        <f>SUM(N14:N28)</f>
        <v>7000000</v>
      </c>
      <c r="O29" s="99"/>
      <c r="P29" s="99"/>
      <c r="Q29" s="99"/>
      <c r="R29" s="99"/>
    </row>
    <row r="30" spans="1:18">
      <c r="A30">
        <v>0</v>
      </c>
      <c r="B30" s="18">
        <v>150000000</v>
      </c>
      <c r="C30" s="18">
        <v>0</v>
      </c>
      <c r="D30" s="18">
        <f>B30-C30</f>
        <v>150000000</v>
      </c>
      <c r="N30" t="s">
        <v>5075</v>
      </c>
    </row>
    <row r="31" spans="1:18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18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4596</v>
      </c>
      <c r="D1" t="s">
        <v>4941</v>
      </c>
      <c r="E1" t="s">
        <v>4942</v>
      </c>
      <c r="F1" t="s">
        <v>8</v>
      </c>
    </row>
    <row r="2" spans="1:6">
      <c r="A2" t="s">
        <v>4945</v>
      </c>
      <c r="B2">
        <v>237</v>
      </c>
      <c r="C2">
        <v>281</v>
      </c>
      <c r="D2">
        <f>B2/C2</f>
        <v>0.84341637010676151</v>
      </c>
      <c r="E2" t="s">
        <v>4946</v>
      </c>
      <c r="F2" t="s">
        <v>4947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4946</v>
      </c>
      <c r="F3" s="96" t="s">
        <v>4947</v>
      </c>
    </row>
    <row r="4" spans="1:6">
      <c r="A4" t="s">
        <v>4948</v>
      </c>
      <c r="B4">
        <v>195</v>
      </c>
      <c r="C4">
        <v>73</v>
      </c>
      <c r="D4" s="96">
        <f t="shared" si="0"/>
        <v>2.6712328767123288</v>
      </c>
      <c r="E4" t="s">
        <v>4949</v>
      </c>
      <c r="F4" t="s">
        <v>4950</v>
      </c>
    </row>
    <row r="5" spans="1:6">
      <c r="A5" t="s">
        <v>4951</v>
      </c>
      <c r="B5">
        <v>1</v>
      </c>
      <c r="C5">
        <v>1</v>
      </c>
      <c r="D5" s="96">
        <f t="shared" si="0"/>
        <v>1</v>
      </c>
      <c r="E5" t="s">
        <v>4949</v>
      </c>
      <c r="F5" t="s">
        <v>4952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4947</v>
      </c>
    </row>
    <row r="7" spans="1:6">
      <c r="A7" t="s">
        <v>4953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4954</v>
      </c>
      <c r="B8">
        <v>335</v>
      </c>
      <c r="C8">
        <v>141</v>
      </c>
      <c r="D8" s="96">
        <f t="shared" si="0"/>
        <v>2.375886524822695</v>
      </c>
      <c r="F8" s="96" t="s">
        <v>4952</v>
      </c>
    </row>
    <row r="9" spans="1:6">
      <c r="A9" t="s">
        <v>4824</v>
      </c>
      <c r="B9">
        <v>150</v>
      </c>
      <c r="C9">
        <v>240</v>
      </c>
      <c r="D9" s="96">
        <f t="shared" si="0"/>
        <v>0.625</v>
      </c>
      <c r="F9" t="s">
        <v>4955</v>
      </c>
    </row>
    <row r="10" spans="1:6">
      <c r="A10" t="s">
        <v>4956</v>
      </c>
      <c r="B10">
        <v>187</v>
      </c>
      <c r="C10">
        <v>208</v>
      </c>
      <c r="D10" s="96">
        <f t="shared" si="0"/>
        <v>0.89903846153846156</v>
      </c>
      <c r="F10" t="s">
        <v>4946</v>
      </c>
    </row>
    <row r="11" spans="1:6">
      <c r="A11" t="s">
        <v>4957</v>
      </c>
      <c r="B11">
        <v>412</v>
      </c>
      <c r="C11">
        <v>183</v>
      </c>
      <c r="D11" s="96">
        <f t="shared" si="0"/>
        <v>2.2513661202185791</v>
      </c>
      <c r="F11" s="96" t="s">
        <v>4952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4940</v>
      </c>
      <c r="B21">
        <v>113</v>
      </c>
      <c r="C21">
        <v>215</v>
      </c>
      <c r="D21" s="96">
        <f t="shared" si="0"/>
        <v>0.52558139534883719</v>
      </c>
      <c r="E21" t="s">
        <v>4943</v>
      </c>
      <c r="F21" t="s">
        <v>4944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48" workbookViewId="0">
      <selection activeCell="E61" sqref="E61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4880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4882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4879</v>
      </c>
      <c r="B4" s="18">
        <v>-960200</v>
      </c>
      <c r="C4" s="18">
        <v>0</v>
      </c>
      <c r="D4" s="113">
        <f t="shared" si="0"/>
        <v>-960200</v>
      </c>
      <c r="E4" s="99" t="s">
        <v>4883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4779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4779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4779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4790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4790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4790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4794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4795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4795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4800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4800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4839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4849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4856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4856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4861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4870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4624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4884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4886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4899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4906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4909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4920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4923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4936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4979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4988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5033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5048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5047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>
        <v>360000</v>
      </c>
      <c r="E60" s="122" t="s">
        <v>5061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5641124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4592</v>
      </c>
      <c r="B285" s="18">
        <v>-3995000</v>
      </c>
      <c r="C285" s="18">
        <v>0</v>
      </c>
      <c r="D285" s="18">
        <f t="shared" si="18"/>
        <v>-3995000</v>
      </c>
      <c r="E285" s="99" t="s">
        <v>4593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4601</v>
      </c>
      <c r="B286" s="18">
        <v>-2010700</v>
      </c>
      <c r="C286" s="18">
        <v>0</v>
      </c>
      <c r="D286" s="18">
        <f t="shared" si="18"/>
        <v>-2010700</v>
      </c>
      <c r="E286" s="99" t="s">
        <v>4605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4601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4606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4615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4620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4620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4624</v>
      </c>
      <c r="B293" s="18">
        <v>-96850</v>
      </c>
      <c r="C293" s="18">
        <v>0</v>
      </c>
      <c r="D293" s="18">
        <f t="shared" si="18"/>
        <v>-96850</v>
      </c>
      <c r="E293" s="99" t="s">
        <v>4628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4646</v>
      </c>
      <c r="B296" s="18">
        <v>-200000</v>
      </c>
      <c r="C296" s="18">
        <v>0</v>
      </c>
      <c r="D296" s="18">
        <f t="shared" si="18"/>
        <v>-200000</v>
      </c>
      <c r="E296" s="99" t="s">
        <v>4647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4657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4662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4662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4662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4662</v>
      </c>
      <c r="B301" s="18">
        <v>-51400</v>
      </c>
      <c r="C301" s="18">
        <v>0</v>
      </c>
      <c r="D301" s="18">
        <f t="shared" si="18"/>
        <v>-51400</v>
      </c>
      <c r="E301" s="99" t="s">
        <v>4669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4672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4672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4689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4689</v>
      </c>
      <c r="B305" s="18">
        <v>-276773</v>
      </c>
      <c r="C305" s="18">
        <v>0</v>
      </c>
      <c r="D305" s="18">
        <f t="shared" si="18"/>
        <v>-276773</v>
      </c>
      <c r="E305" s="99" t="s">
        <v>4692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4709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4709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4719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4711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4712</v>
      </c>
      <c r="B312" s="18">
        <v>-324747</v>
      </c>
      <c r="C312" s="18">
        <v>0</v>
      </c>
      <c r="D312" s="18">
        <f t="shared" si="18"/>
        <v>-324747</v>
      </c>
      <c r="E312" s="99" t="s">
        <v>4720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4727</v>
      </c>
      <c r="B313" s="18">
        <v>-297992</v>
      </c>
      <c r="C313" s="18">
        <v>0</v>
      </c>
      <c r="D313" s="18">
        <f t="shared" si="18"/>
        <v>-297992</v>
      </c>
      <c r="E313" s="99" t="s">
        <v>4728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4736</v>
      </c>
      <c r="B315" s="18">
        <v>-40000</v>
      </c>
      <c r="C315" s="18">
        <v>0</v>
      </c>
      <c r="D315" s="18">
        <f t="shared" si="18"/>
        <v>-40000</v>
      </c>
      <c r="E315" s="99" t="s">
        <v>4744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4749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4770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4779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4779</v>
      </c>
      <c r="B319" s="18">
        <v>-1866154</v>
      </c>
      <c r="C319" s="18">
        <v>0</v>
      </c>
      <c r="D319" s="18">
        <f t="shared" si="18"/>
        <v>-1866154</v>
      </c>
      <c r="E319" s="19" t="s">
        <v>4788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4779</v>
      </c>
      <c r="B320" s="18">
        <v>-36600</v>
      </c>
      <c r="C320" s="18">
        <v>0</v>
      </c>
      <c r="D320" s="18">
        <f t="shared" si="18"/>
        <v>-36600</v>
      </c>
      <c r="E320" s="99" t="s">
        <v>4789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4790</v>
      </c>
      <c r="B321" s="18">
        <v>-492000</v>
      </c>
      <c r="C321" s="18">
        <v>0</v>
      </c>
      <c r="D321" s="18">
        <f t="shared" si="18"/>
        <v>-492000</v>
      </c>
      <c r="E321" s="99" t="s">
        <v>4791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4790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4790</v>
      </c>
      <c r="B323" s="18">
        <v>-40000</v>
      </c>
      <c r="C323" s="18">
        <v>0</v>
      </c>
      <c r="D323" s="18">
        <f t="shared" si="18"/>
        <v>-40000</v>
      </c>
      <c r="E323" s="99" t="s">
        <v>4793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4794</v>
      </c>
      <c r="B324" s="18">
        <v>-66000</v>
      </c>
      <c r="C324" s="18">
        <v>0</v>
      </c>
      <c r="D324" s="18">
        <f t="shared" si="18"/>
        <v>-66000</v>
      </c>
      <c r="E324" s="99" t="s">
        <v>4793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4795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4795</v>
      </c>
      <c r="B326" s="18">
        <v>-200500</v>
      </c>
      <c r="C326" s="18">
        <v>0</v>
      </c>
      <c r="D326" s="18">
        <f t="shared" si="18"/>
        <v>-200500</v>
      </c>
      <c r="E326" s="99" t="s">
        <v>4796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4800</v>
      </c>
      <c r="B327" s="18">
        <v>1563000</v>
      </c>
      <c r="C327" s="18">
        <v>0</v>
      </c>
      <c r="D327" s="18">
        <f t="shared" si="18"/>
        <v>1563000</v>
      </c>
      <c r="E327" s="99" t="s">
        <v>4805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4800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4814</v>
      </c>
      <c r="B329" s="18">
        <v>-20000</v>
      </c>
      <c r="C329" s="18">
        <v>0</v>
      </c>
      <c r="D329" s="18">
        <f t="shared" si="18"/>
        <v>-20000</v>
      </c>
      <c r="E329" s="99" t="s">
        <v>4818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4829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4834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4839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4849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4856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4856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4861</v>
      </c>
      <c r="B341" s="18">
        <v>433375</v>
      </c>
      <c r="C341" s="18">
        <v>0</v>
      </c>
      <c r="D341" s="18">
        <f t="shared" si="18"/>
        <v>433375</v>
      </c>
      <c r="E341" s="99" t="s">
        <v>4864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4870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4870</v>
      </c>
      <c r="B343" s="18">
        <v>-300000</v>
      </c>
      <c r="C343" s="18">
        <v>0</v>
      </c>
      <c r="D343" s="18">
        <f t="shared" si="18"/>
        <v>-300000</v>
      </c>
      <c r="E343" s="99" t="s">
        <v>4873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4870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4876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4882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4879</v>
      </c>
      <c r="B347" s="18">
        <v>-960200</v>
      </c>
      <c r="C347" s="18">
        <v>0</v>
      </c>
      <c r="D347" s="18">
        <f t="shared" si="18"/>
        <v>-960200</v>
      </c>
      <c r="E347" s="99" t="s">
        <v>4883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4736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4740</v>
      </c>
      <c r="B75" s="113">
        <v>-20000</v>
      </c>
      <c r="C75" s="99" t="s">
        <v>4745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4585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4586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4587</v>
      </c>
      <c r="J263" t="s">
        <v>25</v>
      </c>
      <c r="K263" t="s">
        <v>25</v>
      </c>
    </row>
    <row r="264" spans="1:11">
      <c r="A264" s="99" t="s">
        <v>4582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4613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4612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4601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4615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4620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4620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4631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4958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4958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4981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4983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4985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4930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5003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5004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4991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4991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4996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5005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4995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4995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5001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5002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5009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5041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5042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5043</v>
      </c>
      <c r="J292" t="s">
        <v>25</v>
      </c>
    </row>
    <row r="293" spans="1:10">
      <c r="A293" s="99" t="s">
        <v>5042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5045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5046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4753</v>
      </c>
      <c r="L15">
        <v>451474</v>
      </c>
      <c r="M15" s="247" t="s">
        <v>4933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4878</v>
      </c>
      <c r="B193" s="38">
        <v>-25000</v>
      </c>
      <c r="C193" s="11" t="s">
        <v>4885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abSelected="1" topLeftCell="J82" zoomScaleNormal="100" workbookViewId="0">
      <selection activeCell="P45" sqref="P4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4825</v>
      </c>
      <c r="AT10" s="73" t="s">
        <v>4828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4849</v>
      </c>
      <c r="AT11" s="73" t="s">
        <v>4850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4904</v>
      </c>
      <c r="AT12" s="73" t="s">
        <v>4905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5042</v>
      </c>
      <c r="AT13" s="73" t="s">
        <v>5044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5045</v>
      </c>
      <c r="AT14" s="73" t="s">
        <v>5049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5050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1119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S81</f>
        <v>254</v>
      </c>
      <c r="T20" s="168" t="s">
        <v>4309</v>
      </c>
      <c r="U20" s="168">
        <v>192.1</v>
      </c>
      <c r="V20" s="168">
        <f t="shared" ref="V20:V51" si="6">U20*(1+$R$77+$Q$15*S20/36500)</f>
        <v>232.45047342465753</v>
      </c>
      <c r="W20" s="32">
        <f t="shared" ref="W20:W33" si="7">V20*(1+$W$19/100)</f>
        <v>237.09948289315068</v>
      </c>
      <c r="X20" s="32">
        <f t="shared" ref="X20:X33" si="8">V20*(1+$X$19/100)</f>
        <v>241.74849236164383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420</v>
      </c>
      <c r="AM20" s="113">
        <f>AJ20*AL20</f>
        <v>7560000000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-N30</f>
        <v>560531685.68601549</v>
      </c>
      <c r="M21" s="168" t="s">
        <v>4301</v>
      </c>
      <c r="N21" s="113">
        <f t="shared" ref="N21:N23" si="9">O21*P21</f>
        <v>251917028.40000001</v>
      </c>
      <c r="O21" s="99">
        <v>1257071</v>
      </c>
      <c r="P21" s="186">
        <f>P43</f>
        <v>200.4</v>
      </c>
      <c r="Q21" s="169">
        <v>595156</v>
      </c>
      <c r="R21" s="168" t="s">
        <v>4392</v>
      </c>
      <c r="S21" s="193">
        <f>S20-52</f>
        <v>202</v>
      </c>
      <c r="T21" s="168" t="s">
        <v>4395</v>
      </c>
      <c r="U21" s="168">
        <v>5808.5</v>
      </c>
      <c r="V21" s="168">
        <f t="shared" si="6"/>
        <v>6796.8679945205495</v>
      </c>
      <c r="W21" s="32">
        <f t="shared" si="7"/>
        <v>6932.8053544109607</v>
      </c>
      <c r="X21" s="32">
        <f t="shared" si="8"/>
        <v>7068.742714301372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419</v>
      </c>
      <c r="AM21" s="113">
        <f t="shared" ref="AM21:AM120" si="11">AJ21*AL21</f>
        <v>1047500000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-5641124</v>
      </c>
      <c r="M22" s="214" t="s">
        <v>4409</v>
      </c>
      <c r="N22" s="113">
        <f t="shared" si="9"/>
        <v>122367301.8</v>
      </c>
      <c r="O22" s="99">
        <v>159457</v>
      </c>
      <c r="P22" s="186">
        <f>P42</f>
        <v>767.4</v>
      </c>
      <c r="Q22" s="169">
        <v>1484689</v>
      </c>
      <c r="R22" s="168" t="s">
        <v>4429</v>
      </c>
      <c r="S22" s="168">
        <f>S21-7</f>
        <v>195</v>
      </c>
      <c r="T22" s="19" t="s">
        <v>4432</v>
      </c>
      <c r="U22" s="168">
        <v>5474</v>
      </c>
      <c r="V22" s="168">
        <f t="shared" si="6"/>
        <v>6376.0552109589053</v>
      </c>
      <c r="W22" s="32">
        <f t="shared" si="7"/>
        <v>6503.5763151780839</v>
      </c>
      <c r="X22" s="32">
        <f t="shared" si="8"/>
        <v>6631.0974193972615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418</v>
      </c>
      <c r="AM22" s="113">
        <f t="shared" si="11"/>
        <v>3344000000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8" t="s">
        <v>456</v>
      </c>
      <c r="L23" s="117">
        <v>500000</v>
      </c>
      <c r="M23" s="168" t="s">
        <v>4394</v>
      </c>
      <c r="N23" s="113">
        <f t="shared" si="9"/>
        <v>43699012.5</v>
      </c>
      <c r="O23" s="99">
        <v>9273</v>
      </c>
      <c r="P23" s="99">
        <f>P41</f>
        <v>4712.5</v>
      </c>
      <c r="Q23" s="169">
        <v>2197673</v>
      </c>
      <c r="R23" s="168" t="s">
        <v>4429</v>
      </c>
      <c r="S23" s="168">
        <f>S22</f>
        <v>195</v>
      </c>
      <c r="T23" s="19" t="s">
        <v>4433</v>
      </c>
      <c r="U23" s="168">
        <v>5349</v>
      </c>
      <c r="V23" s="168">
        <f t="shared" si="6"/>
        <v>6230.4565808219186</v>
      </c>
      <c r="W23" s="32">
        <f>V23*(1+$W$19/100)</f>
        <v>6355.065712438357</v>
      </c>
      <c r="X23" s="32">
        <f t="shared" si="8"/>
        <v>6479.6748440547954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417</v>
      </c>
      <c r="AM23" s="113">
        <f t="shared" si="11"/>
        <v>-33173184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L55</f>
        <v>507133638.68601549</v>
      </c>
      <c r="G24" s="95">
        <f t="shared" si="0"/>
        <v>-226827293.30407685</v>
      </c>
      <c r="H24" s="11"/>
      <c r="I24" s="96"/>
      <c r="J24" s="96"/>
      <c r="K24" s="168"/>
      <c r="L24" s="117"/>
      <c r="M24" s="168"/>
      <c r="N24" s="113"/>
      <c r="O24" s="69" t="s">
        <v>25</v>
      </c>
      <c r="P24" s="99"/>
      <c r="Q24" s="169">
        <v>1353959</v>
      </c>
      <c r="R24" s="168" t="s">
        <v>4429</v>
      </c>
      <c r="S24" s="199">
        <f>S23</f>
        <v>195</v>
      </c>
      <c r="T24" s="19" t="s">
        <v>4475</v>
      </c>
      <c r="U24" s="168">
        <v>192.2</v>
      </c>
      <c r="V24" s="168">
        <f t="shared" si="6"/>
        <v>223.87245369863015</v>
      </c>
      <c r="W24" s="32">
        <f t="shared" si="7"/>
        <v>228.34990277260275</v>
      </c>
      <c r="X24" s="32">
        <f t="shared" si="8"/>
        <v>232.82735184657537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416</v>
      </c>
      <c r="AM24" s="113">
        <f t="shared" si="11"/>
        <v>68848000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90" t="s">
        <v>4459</v>
      </c>
      <c r="N25" s="113">
        <v>4562</v>
      </c>
      <c r="O25" s="69" t="s">
        <v>25</v>
      </c>
      <c r="P25" s="99" t="s">
        <v>25</v>
      </c>
      <c r="Q25" s="169">
        <v>1614398</v>
      </c>
      <c r="R25" s="168" t="s">
        <v>4437</v>
      </c>
      <c r="S25" s="168">
        <f>S24-3</f>
        <v>192</v>
      </c>
      <c r="T25" s="19" t="s">
        <v>4508</v>
      </c>
      <c r="U25" s="168">
        <v>184.6</v>
      </c>
      <c r="V25" s="168">
        <f t="shared" si="6"/>
        <v>214.59522410958905</v>
      </c>
      <c r="W25" s="32">
        <f t="shared" si="7"/>
        <v>218.88712859178085</v>
      </c>
      <c r="X25" s="32">
        <f t="shared" si="8"/>
        <v>223.17903307397262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404</v>
      </c>
      <c r="AM25" s="113">
        <f t="shared" si="11"/>
        <v>-11647452108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5062</v>
      </c>
      <c r="L26" s="117">
        <v>-7000000</v>
      </c>
      <c r="M26" s="190" t="s">
        <v>4394</v>
      </c>
      <c r="N26" s="113">
        <f t="shared" ref="N26:N27" si="13">O26*P26</f>
        <v>5400525</v>
      </c>
      <c r="O26" s="69">
        <v>1146</v>
      </c>
      <c r="P26" s="99">
        <f>P41</f>
        <v>4712.5</v>
      </c>
      <c r="Q26" s="169">
        <v>133576</v>
      </c>
      <c r="R26" s="168" t="s">
        <v>4515</v>
      </c>
      <c r="S26" s="198">
        <f>S25-22</f>
        <v>170</v>
      </c>
      <c r="T26" s="168" t="s">
        <v>4516</v>
      </c>
      <c r="U26" s="168">
        <v>166.2</v>
      </c>
      <c r="V26" s="168">
        <f t="shared" si="6"/>
        <v>190.40054136986302</v>
      </c>
      <c r="W26" s="32">
        <f t="shared" si="7"/>
        <v>194.20855219726027</v>
      </c>
      <c r="X26" s="32">
        <f t="shared" si="8"/>
        <v>198.01656302465756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398</v>
      </c>
      <c r="AM26" s="113">
        <f t="shared" si="11"/>
        <v>7363000000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4" t="s">
        <v>5077</v>
      </c>
      <c r="L27" s="117">
        <v>20000</v>
      </c>
      <c r="M27" s="190" t="s">
        <v>4438</v>
      </c>
      <c r="N27" s="113">
        <f t="shared" si="13"/>
        <v>32744157.600000001</v>
      </c>
      <c r="O27" s="69">
        <v>163394</v>
      </c>
      <c r="P27" s="99">
        <f>P43</f>
        <v>200.4</v>
      </c>
      <c r="Q27" s="169">
        <v>220803</v>
      </c>
      <c r="R27" s="168" t="s">
        <v>4231</v>
      </c>
      <c r="S27" s="198">
        <f>S26-1</f>
        <v>169</v>
      </c>
      <c r="T27" s="168" t="s">
        <v>4522</v>
      </c>
      <c r="U27" s="168">
        <v>166</v>
      </c>
      <c r="V27" s="168">
        <f t="shared" si="6"/>
        <v>190.0440767123288</v>
      </c>
      <c r="W27" s="32">
        <f t="shared" si="7"/>
        <v>193.84495824657537</v>
      </c>
      <c r="X27" s="32">
        <f t="shared" si="8"/>
        <v>197.64583978082197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397</v>
      </c>
      <c r="AM27" s="113">
        <f t="shared" si="11"/>
        <v>-7364350000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25</v>
      </c>
      <c r="L28" s="117"/>
      <c r="M28" s="168"/>
      <c r="N28" s="113"/>
      <c r="P28" t="s">
        <v>25</v>
      </c>
      <c r="Q28" s="169">
        <v>1023940</v>
      </c>
      <c r="R28" s="168" t="s">
        <v>4523</v>
      </c>
      <c r="S28" s="198">
        <f>S27-2</f>
        <v>167</v>
      </c>
      <c r="T28" s="168" t="s">
        <v>4529</v>
      </c>
      <c r="U28" s="168">
        <v>160.19999999999999</v>
      </c>
      <c r="V28" s="168">
        <f t="shared" si="6"/>
        <v>183.15819616438358</v>
      </c>
      <c r="W28" s="32">
        <f t="shared" si="7"/>
        <v>186.82136008767125</v>
      </c>
      <c r="X28" s="32">
        <f t="shared" si="8"/>
        <v>190.48452401095892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396</v>
      </c>
      <c r="AM28" s="113">
        <f t="shared" si="11"/>
        <v>-25724556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25</v>
      </c>
      <c r="L29" s="117"/>
      <c r="M29" s="168" t="s">
        <v>756</v>
      </c>
      <c r="N29" s="113">
        <v>3000000</v>
      </c>
      <c r="O29" t="s">
        <v>25</v>
      </c>
      <c r="P29" t="s">
        <v>25</v>
      </c>
      <c r="Q29" s="169">
        <v>168846</v>
      </c>
      <c r="R29" s="168" t="s">
        <v>3691</v>
      </c>
      <c r="S29" s="198">
        <f>S28-28</f>
        <v>139</v>
      </c>
      <c r="T29" s="168" t="s">
        <v>4618</v>
      </c>
      <c r="U29" s="168">
        <v>172.2</v>
      </c>
      <c r="V29" s="168">
        <f t="shared" si="6"/>
        <v>193.17914958904112</v>
      </c>
      <c r="W29" s="32">
        <f t="shared" si="7"/>
        <v>197.04273258082193</v>
      </c>
      <c r="X29" s="32">
        <f t="shared" si="8"/>
        <v>200.90631557260278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391</v>
      </c>
      <c r="AM29" s="113">
        <f t="shared" si="11"/>
        <v>2502400000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 t="s">
        <v>918</v>
      </c>
      <c r="L30" s="117">
        <v>4800000</v>
      </c>
      <c r="M30" s="168" t="s">
        <v>4149</v>
      </c>
      <c r="N30" s="113">
        <f>-S140</f>
        <v>-560531685.68601549</v>
      </c>
      <c r="O30" s="96"/>
      <c r="P30" s="96" t="s">
        <v>25</v>
      </c>
      <c r="Q30" s="169">
        <v>250962</v>
      </c>
      <c r="R30" s="168" t="s">
        <v>4657</v>
      </c>
      <c r="S30" s="198">
        <f>S29-10</f>
        <v>129</v>
      </c>
      <c r="T30" s="168" t="s">
        <v>4658</v>
      </c>
      <c r="U30" s="168">
        <v>5315.5</v>
      </c>
      <c r="V30" s="168">
        <f t="shared" si="6"/>
        <v>5922.311654794521</v>
      </c>
      <c r="W30" s="32">
        <f t="shared" si="7"/>
        <v>6040.7578878904114</v>
      </c>
      <c r="X30" s="32">
        <f t="shared" si="8"/>
        <v>6159.2041209863019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390</v>
      </c>
      <c r="AM30" s="113">
        <f t="shared" si="11"/>
        <v>-66300000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68" t="s">
        <v>753</v>
      </c>
      <c r="N31" s="113">
        <v>500000</v>
      </c>
      <c r="O31" s="96" t="s">
        <v>25</v>
      </c>
      <c r="P31" s="122" t="s">
        <v>25</v>
      </c>
      <c r="Q31" s="169">
        <v>350718</v>
      </c>
      <c r="R31" s="214" t="s">
        <v>4695</v>
      </c>
      <c r="S31" s="198">
        <f>S30-7</f>
        <v>122</v>
      </c>
      <c r="T31" s="214" t="s">
        <v>4696</v>
      </c>
      <c r="U31" s="214">
        <v>502.3</v>
      </c>
      <c r="V31" s="214">
        <f t="shared" si="6"/>
        <v>556.94473534246583</v>
      </c>
      <c r="W31" s="32">
        <f t="shared" si="7"/>
        <v>568.08363004931516</v>
      </c>
      <c r="X31" s="32">
        <f t="shared" si="8"/>
        <v>579.22252475616449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385</v>
      </c>
      <c r="AM31" s="113">
        <f t="shared" si="11"/>
        <v>-2425500000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1086</v>
      </c>
      <c r="L32" s="117">
        <f>'خرید و فروش سکه فیزیکی'!M48*10*P44</f>
        <v>0</v>
      </c>
      <c r="M32" s="168" t="s">
        <v>760</v>
      </c>
      <c r="N32" s="113">
        <v>1200000</v>
      </c>
      <c r="O32" t="s">
        <v>25</v>
      </c>
      <c r="P32" t="s">
        <v>25</v>
      </c>
      <c r="Q32" s="169">
        <v>17953742</v>
      </c>
      <c r="R32" s="214" t="s">
        <v>3684</v>
      </c>
      <c r="S32" s="198">
        <f>S31-15</f>
        <v>107</v>
      </c>
      <c r="T32" s="214" t="s">
        <v>4735</v>
      </c>
      <c r="U32" s="214">
        <v>486.4</v>
      </c>
      <c r="V32" s="214">
        <f t="shared" si="6"/>
        <v>533.71805808219176</v>
      </c>
      <c r="W32" s="32">
        <f t="shared" si="7"/>
        <v>544.39241924383566</v>
      </c>
      <c r="X32" s="32">
        <f t="shared" si="8"/>
        <v>555.06678040547945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384</v>
      </c>
      <c r="AM32" s="113">
        <f t="shared" si="11"/>
        <v>-19973760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4784</v>
      </c>
      <c r="L33" s="117">
        <v>-47500000</v>
      </c>
      <c r="M33" s="73"/>
      <c r="N33" s="113"/>
      <c r="O33" s="96" t="s">
        <v>25</v>
      </c>
      <c r="P33" s="96" t="s">
        <v>25</v>
      </c>
      <c r="Q33" s="169">
        <v>9566181</v>
      </c>
      <c r="R33" s="214" t="s">
        <v>4736</v>
      </c>
      <c r="S33" s="198">
        <f>S32-1</f>
        <v>106</v>
      </c>
      <c r="T33" s="214" t="s">
        <v>4737</v>
      </c>
      <c r="U33" s="214">
        <v>476.1</v>
      </c>
      <c r="V33" s="214">
        <f t="shared" si="6"/>
        <v>522.05082410958914</v>
      </c>
      <c r="W33" s="32">
        <f t="shared" si="7"/>
        <v>532.49184059178094</v>
      </c>
      <c r="X33" s="32">
        <f t="shared" si="8"/>
        <v>542.93285707397274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368</v>
      </c>
      <c r="AM33" s="113">
        <f t="shared" si="11"/>
        <v>7366403200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1086</v>
      </c>
      <c r="N34" s="113">
        <f>('خرید و فروش سکه فیزیکی'!M47+3)*10*P44</f>
        <v>13800000</v>
      </c>
      <c r="O34" s="96"/>
      <c r="P34" s="96" t="s">
        <v>25</v>
      </c>
      <c r="Q34" s="169">
        <v>1563192</v>
      </c>
      <c r="R34" s="214" t="s">
        <v>4736</v>
      </c>
      <c r="S34" s="198">
        <f>S33</f>
        <v>106</v>
      </c>
      <c r="T34" s="214" t="s">
        <v>4738</v>
      </c>
      <c r="U34" s="214">
        <v>168.8</v>
      </c>
      <c r="V34" s="214">
        <f t="shared" si="6"/>
        <v>185.09174356164388</v>
      </c>
      <c r="W34" s="32">
        <f t="shared" ref="W34:W51" si="14">V34*(1+$W$19/100)</f>
        <v>188.79357843287676</v>
      </c>
      <c r="X34" s="32">
        <f t="shared" ref="X34:X51" si="15">V34*(1+$X$19/100)</f>
        <v>192.49541330410963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368</v>
      </c>
      <c r="AM34" s="113">
        <f t="shared" si="11"/>
        <v>373323488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 ht="16.5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4783</v>
      </c>
      <c r="N35" s="113">
        <v>-18000000</v>
      </c>
      <c r="O35" s="245" t="s">
        <v>25</v>
      </c>
      <c r="P35" s="114"/>
      <c r="Q35" s="169">
        <v>15499033</v>
      </c>
      <c r="R35" s="214" t="s">
        <v>4754</v>
      </c>
      <c r="S35" s="198">
        <f>S34-6</f>
        <v>100</v>
      </c>
      <c r="T35" s="214" t="s">
        <v>4758</v>
      </c>
      <c r="U35" s="214">
        <v>525.1</v>
      </c>
      <c r="V35" s="214">
        <f t="shared" si="6"/>
        <v>573.36316383561643</v>
      </c>
      <c r="W35" s="32">
        <f t="shared" si="14"/>
        <v>584.83042711232872</v>
      </c>
      <c r="X35" s="32">
        <f t="shared" si="15"/>
        <v>596.29769038904112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356</v>
      </c>
      <c r="AM35" s="113">
        <f t="shared" si="11"/>
        <v>128160000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/>
      <c r="L36" s="117"/>
      <c r="M36" s="168" t="s">
        <v>4785</v>
      </c>
      <c r="N36" s="113">
        <v>-47000000</v>
      </c>
      <c r="O36" s="96"/>
      <c r="P36" s="96" t="s">
        <v>25</v>
      </c>
      <c r="Q36" s="169">
        <v>30673673</v>
      </c>
      <c r="R36" s="214" t="s">
        <v>4762</v>
      </c>
      <c r="S36" s="198">
        <f>S35-1</f>
        <v>99</v>
      </c>
      <c r="T36" s="214" t="s">
        <v>4767</v>
      </c>
      <c r="U36" s="214">
        <v>529.79999999999995</v>
      </c>
      <c r="V36" s="214">
        <f t="shared" si="6"/>
        <v>578.08872986301367</v>
      </c>
      <c r="W36" s="32">
        <f t="shared" si="14"/>
        <v>589.65050446027396</v>
      </c>
      <c r="X36" s="32">
        <f t="shared" si="15"/>
        <v>601.21227905753426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354</v>
      </c>
      <c r="AM36" s="113">
        <f t="shared" si="11"/>
        <v>-123900000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99"/>
      <c r="L37" s="117"/>
      <c r="M37" s="168"/>
      <c r="N37" s="113"/>
      <c r="O37" s="96"/>
      <c r="P37" s="96" t="s">
        <v>25</v>
      </c>
      <c r="Q37" s="169">
        <v>5420397</v>
      </c>
      <c r="R37" s="214" t="s">
        <v>4762</v>
      </c>
      <c r="S37" s="198">
        <f>S36</f>
        <v>99</v>
      </c>
      <c r="T37" s="214" t="s">
        <v>4768</v>
      </c>
      <c r="U37" s="214">
        <v>5395.9</v>
      </c>
      <c r="V37" s="214">
        <f t="shared" si="6"/>
        <v>5887.7104142465751</v>
      </c>
      <c r="W37" s="32">
        <f t="shared" si="14"/>
        <v>6005.4646225315064</v>
      </c>
      <c r="X37" s="32">
        <f t="shared" si="15"/>
        <v>6123.2188308164386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354</v>
      </c>
      <c r="AM37" s="113">
        <f t="shared" si="11"/>
        <v>354000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99"/>
      <c r="L38" s="117"/>
      <c r="M38" s="168" t="s">
        <v>4458</v>
      </c>
      <c r="N38" s="113">
        <v>1500000</v>
      </c>
      <c r="P38" t="s">
        <v>25</v>
      </c>
      <c r="Q38" s="169">
        <v>5809833</v>
      </c>
      <c r="R38" s="214" t="s">
        <v>4870</v>
      </c>
      <c r="S38" s="198">
        <f>S37-21</f>
        <v>78</v>
      </c>
      <c r="T38" s="214" t="s">
        <v>4874</v>
      </c>
      <c r="U38" s="214">
        <v>587.29999999999995</v>
      </c>
      <c r="V38" s="214">
        <f t="shared" si="6"/>
        <v>631.36841753424665</v>
      </c>
      <c r="W38" s="32">
        <f t="shared" si="14"/>
        <v>643.99578588493159</v>
      </c>
      <c r="X38" s="32">
        <f t="shared" si="15"/>
        <v>656.62315423561654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353</v>
      </c>
      <c r="AM38" s="113">
        <f t="shared" si="11"/>
        <v>11864330000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56"/>
      <c r="L39" s="117"/>
      <c r="M39" s="168"/>
      <c r="N39" s="113"/>
      <c r="O39" s="99"/>
      <c r="P39" s="99"/>
      <c r="Q39" s="169">
        <v>164707</v>
      </c>
      <c r="R39" s="214" t="s">
        <v>4926</v>
      </c>
      <c r="S39" s="198">
        <f>S38-28</f>
        <v>50</v>
      </c>
      <c r="T39" s="214" t="s">
        <v>4927</v>
      </c>
      <c r="U39" s="214">
        <v>633</v>
      </c>
      <c r="V39" s="214">
        <f t="shared" si="6"/>
        <v>666.9010520547946</v>
      </c>
      <c r="W39" s="32">
        <f t="shared" si="14"/>
        <v>680.23907309589049</v>
      </c>
      <c r="X39" s="32">
        <f t="shared" si="15"/>
        <v>693.57709413698637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349</v>
      </c>
      <c r="AM39" s="113">
        <f t="shared" si="11"/>
        <v>-5444400000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21" t="s">
        <v>4568</v>
      </c>
      <c r="N40" s="117">
        <f t="shared" ref="N40:N44" si="16">O40*P40</f>
        <v>74635</v>
      </c>
      <c r="O40" s="69">
        <v>50</v>
      </c>
      <c r="P40" s="69">
        <v>1492.7</v>
      </c>
      <c r="Q40" s="169">
        <v>1204691</v>
      </c>
      <c r="R40" s="214" t="s">
        <v>4991</v>
      </c>
      <c r="S40" s="198">
        <f>S39-20</f>
        <v>30</v>
      </c>
      <c r="T40" s="214" t="s">
        <v>4992</v>
      </c>
      <c r="U40" s="214">
        <v>218.5</v>
      </c>
      <c r="V40" s="214">
        <f t="shared" si="6"/>
        <v>226.84969315068497</v>
      </c>
      <c r="W40" s="32">
        <f t="shared" si="14"/>
        <v>231.38668701369866</v>
      </c>
      <c r="X40" s="32">
        <f t="shared" si="15"/>
        <v>235.92368087671238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346</v>
      </c>
      <c r="AM40" s="113">
        <f t="shared" si="11"/>
        <v>2595000000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25</v>
      </c>
      <c r="L41" s="117"/>
      <c r="M41" s="19" t="s">
        <v>4394</v>
      </c>
      <c r="N41" s="113">
        <f t="shared" si="16"/>
        <v>156634075</v>
      </c>
      <c r="O41" s="69">
        <v>33238</v>
      </c>
      <c r="P41" s="69">
        <v>4712.5</v>
      </c>
      <c r="Q41" s="169">
        <v>15011877</v>
      </c>
      <c r="R41" s="214" t="s">
        <v>4995</v>
      </c>
      <c r="S41" s="198">
        <f>S40-3</f>
        <v>27</v>
      </c>
      <c r="T41" s="214" t="s">
        <v>5000</v>
      </c>
      <c r="U41" s="214">
        <v>197.1</v>
      </c>
      <c r="V41" s="214">
        <f t="shared" si="6"/>
        <v>204.17832000000004</v>
      </c>
      <c r="W41" s="32">
        <f t="shared" si="14"/>
        <v>208.26188640000004</v>
      </c>
      <c r="X41" s="32">
        <f t="shared" si="15"/>
        <v>212.34545280000006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342</v>
      </c>
      <c r="AM41" s="113">
        <f t="shared" si="11"/>
        <v>-33516000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/>
      <c r="L42" s="117"/>
      <c r="M42" s="19" t="s">
        <v>4409</v>
      </c>
      <c r="N42" s="117">
        <f t="shared" si="16"/>
        <v>81985179</v>
      </c>
      <c r="O42" s="69">
        <v>106835</v>
      </c>
      <c r="P42" s="69">
        <v>767.4</v>
      </c>
      <c r="Q42" s="169">
        <v>35272425</v>
      </c>
      <c r="R42" s="214" t="s">
        <v>5012</v>
      </c>
      <c r="S42" s="198">
        <f>S41-5</f>
        <v>22</v>
      </c>
      <c r="T42" s="214" t="s">
        <v>5015</v>
      </c>
      <c r="U42" s="214">
        <v>4730.8999999999996</v>
      </c>
      <c r="V42" s="214">
        <f t="shared" si="6"/>
        <v>4882.6517183561646</v>
      </c>
      <c r="W42" s="32">
        <f t="shared" si="14"/>
        <v>4980.3047527232875</v>
      </c>
      <c r="X42" s="32">
        <f t="shared" si="15"/>
        <v>5077.9577870904113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341</v>
      </c>
      <c r="AM42" s="113">
        <f t="shared" si="11"/>
        <v>-8866000000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9" t="s">
        <v>4179</v>
      </c>
      <c r="N43" s="113">
        <f t="shared" si="16"/>
        <v>475950000</v>
      </c>
      <c r="O43" s="99">
        <v>2375000</v>
      </c>
      <c r="P43" s="99">
        <v>200.4</v>
      </c>
      <c r="Q43" s="169">
        <v>3098904</v>
      </c>
      <c r="R43" s="214" t="s">
        <v>5013</v>
      </c>
      <c r="S43" s="198">
        <f>S42</f>
        <v>22</v>
      </c>
      <c r="T43" s="214" t="s">
        <v>5016</v>
      </c>
      <c r="U43" s="214">
        <v>671.9</v>
      </c>
      <c r="V43" s="214">
        <f t="shared" si="6"/>
        <v>693.45234301369874</v>
      </c>
      <c r="W43" s="32">
        <f t="shared" si="14"/>
        <v>707.32138987397275</v>
      </c>
      <c r="X43" s="32">
        <f t="shared" si="15"/>
        <v>721.19043673424676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341</v>
      </c>
      <c r="AM43" s="113">
        <f t="shared" si="11"/>
        <v>8525000000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1086</v>
      </c>
      <c r="N44" s="117">
        <f t="shared" si="16"/>
        <v>0</v>
      </c>
      <c r="O44" s="69">
        <v>0</v>
      </c>
      <c r="P44" s="69">
        <v>460000</v>
      </c>
      <c r="Q44" s="169">
        <v>12803120</v>
      </c>
      <c r="R44" s="214" t="s">
        <v>5014</v>
      </c>
      <c r="S44" s="198">
        <f>S43</f>
        <v>22</v>
      </c>
      <c r="T44" s="214" t="s">
        <v>5017</v>
      </c>
      <c r="U44" s="214">
        <v>194.4</v>
      </c>
      <c r="V44" s="214">
        <f t="shared" si="6"/>
        <v>200.63571287671238</v>
      </c>
      <c r="W44" s="32">
        <f t="shared" si="14"/>
        <v>204.64842713424662</v>
      </c>
      <c r="X44" s="32">
        <f t="shared" si="15"/>
        <v>208.66114139178089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340</v>
      </c>
      <c r="AM44" s="113">
        <f t="shared" si="11"/>
        <v>37400000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73"/>
      <c r="N45" s="117"/>
      <c r="O45" s="122"/>
      <c r="P45" s="122"/>
      <c r="Q45" s="169">
        <v>100562</v>
      </c>
      <c r="R45" s="214" t="s">
        <v>5023</v>
      </c>
      <c r="S45" s="198">
        <f>S44-6</f>
        <v>16</v>
      </c>
      <c r="T45" s="214" t="s">
        <v>5024</v>
      </c>
      <c r="U45" s="214">
        <v>190.3</v>
      </c>
      <c r="V45" s="214">
        <f t="shared" si="6"/>
        <v>195.5282969863014</v>
      </c>
      <c r="W45" s="32">
        <f t="shared" si="14"/>
        <v>199.43886292602744</v>
      </c>
      <c r="X45" s="32">
        <f t="shared" si="15"/>
        <v>203.34942886575345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339</v>
      </c>
      <c r="AM45" s="113">
        <f t="shared" si="11"/>
        <v>128820000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168" t="s">
        <v>1152</v>
      </c>
      <c r="N46" s="117">
        <v>14908</v>
      </c>
      <c r="O46" s="96"/>
      <c r="P46" t="s">
        <v>25</v>
      </c>
      <c r="Q46" s="169">
        <v>201504198</v>
      </c>
      <c r="R46" s="214" t="s">
        <v>5027</v>
      </c>
      <c r="S46" s="198">
        <f>S45-2</f>
        <v>14</v>
      </c>
      <c r="T46" s="214" t="s">
        <v>5031</v>
      </c>
      <c r="U46" s="214">
        <v>195.5</v>
      </c>
      <c r="V46" s="214">
        <f t="shared" si="6"/>
        <v>200.5712164383562</v>
      </c>
      <c r="W46" s="32">
        <f t="shared" si="14"/>
        <v>204.58264076712334</v>
      </c>
      <c r="X46" s="32">
        <f t="shared" si="15"/>
        <v>208.59406509589047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332</v>
      </c>
      <c r="AM46" s="113">
        <f t="shared" si="11"/>
        <v>149400000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99"/>
      <c r="M47" s="168" t="s">
        <v>1153</v>
      </c>
      <c r="N47" s="117">
        <v>5282</v>
      </c>
      <c r="O47" s="96"/>
      <c r="P47" t="s">
        <v>25</v>
      </c>
      <c r="Q47" s="169">
        <v>113410</v>
      </c>
      <c r="R47" s="214" t="s">
        <v>5037</v>
      </c>
      <c r="S47" s="198">
        <f>S46-2</f>
        <v>12</v>
      </c>
      <c r="T47" s="214" t="s">
        <v>5038</v>
      </c>
      <c r="U47" s="214">
        <v>197.7</v>
      </c>
      <c r="V47" s="214">
        <f t="shared" si="6"/>
        <v>202.52496328767126</v>
      </c>
      <c r="W47" s="32">
        <f t="shared" si="14"/>
        <v>206.57546255342467</v>
      </c>
      <c r="X47" s="32">
        <f t="shared" si="15"/>
        <v>210.62596181917812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326</v>
      </c>
      <c r="AM47" s="113">
        <f t="shared" si="11"/>
        <v>912800000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/>
      <c r="N48" s="113"/>
      <c r="O48" s="115"/>
      <c r="P48" s="115"/>
      <c r="Q48" s="169">
        <v>104281</v>
      </c>
      <c r="R48" s="214" t="s">
        <v>5056</v>
      </c>
      <c r="S48" s="198">
        <f>S47-7</f>
        <v>5</v>
      </c>
      <c r="T48" s="214" t="s">
        <v>5057</v>
      </c>
      <c r="U48" s="214">
        <v>200</v>
      </c>
      <c r="V48" s="214">
        <f t="shared" si="6"/>
        <v>203.80712328767126</v>
      </c>
      <c r="W48" s="32">
        <f t="shared" si="14"/>
        <v>207.88326575342469</v>
      </c>
      <c r="X48" s="32">
        <f t="shared" si="15"/>
        <v>211.95940821917813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325</v>
      </c>
      <c r="AM48" s="113">
        <f t="shared" si="11"/>
        <v>-487500000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168" t="s">
        <v>25</v>
      </c>
      <c r="L49" s="117"/>
      <c r="M49" s="168" t="s">
        <v>4180</v>
      </c>
      <c r="N49" s="113">
        <f>-O49*P49</f>
        <v>-8744854.8000000007</v>
      </c>
      <c r="O49" s="99">
        <v>43637</v>
      </c>
      <c r="P49" s="99">
        <f>P43</f>
        <v>200.4</v>
      </c>
      <c r="Q49" s="169">
        <v>118852</v>
      </c>
      <c r="R49" s="214" t="s">
        <v>5063</v>
      </c>
      <c r="S49" s="198">
        <f>S48-3</f>
        <v>2</v>
      </c>
      <c r="T49" s="214" t="s">
        <v>5064</v>
      </c>
      <c r="U49" s="214">
        <v>739.4</v>
      </c>
      <c r="V49" s="214">
        <f t="shared" si="6"/>
        <v>751.77330191780834</v>
      </c>
      <c r="W49" s="32">
        <f t="shared" si="14"/>
        <v>766.8087679561645</v>
      </c>
      <c r="X49" s="32">
        <f t="shared" si="15"/>
        <v>781.84423399452066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325</v>
      </c>
      <c r="AM49" s="113">
        <f t="shared" si="11"/>
        <v>991250000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168"/>
      <c r="L50" s="117"/>
      <c r="M50" s="168"/>
      <c r="N50" s="113"/>
      <c r="Q50" s="169">
        <v>109071</v>
      </c>
      <c r="R50" s="214" t="s">
        <v>5073</v>
      </c>
      <c r="S50" s="198">
        <f>S49-2</f>
        <v>0</v>
      </c>
      <c r="T50" s="214" t="s">
        <v>5078</v>
      </c>
      <c r="U50" s="214">
        <v>4720.8</v>
      </c>
      <c r="V50" s="214">
        <f t="shared" si="6"/>
        <v>4792.556160000001</v>
      </c>
      <c r="W50" s="32">
        <f t="shared" si="14"/>
        <v>4888.4072832000011</v>
      </c>
      <c r="X50" s="32">
        <f t="shared" si="15"/>
        <v>4984.2584064000011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322</v>
      </c>
      <c r="AM50" s="113">
        <f t="shared" si="11"/>
        <v>-2672475064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168"/>
      <c r="L51" s="117"/>
      <c r="M51" s="168"/>
      <c r="N51" s="113"/>
      <c r="Q51" s="169"/>
      <c r="R51" s="168"/>
      <c r="S51" s="168"/>
      <c r="T51" s="168"/>
      <c r="U51" s="168"/>
      <c r="V51" s="214">
        <f t="shared" si="6"/>
        <v>0</v>
      </c>
      <c r="W51" s="32">
        <f t="shared" si="14"/>
        <v>0</v>
      </c>
      <c r="X51" s="32">
        <f t="shared" si="15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320</v>
      </c>
      <c r="AM51" s="113">
        <f t="shared" si="11"/>
        <v>1600000000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168"/>
      <c r="L52" s="117"/>
      <c r="M52" s="168" t="s">
        <v>4445</v>
      </c>
      <c r="N52" s="113">
        <f>-S141</f>
        <v>-17577085.303066257</v>
      </c>
      <c r="Q52" s="169">
        <f>SUM(N21:N23)-SUM(Q20:Q51)</f>
        <v>43227486.699999988</v>
      </c>
      <c r="R52" s="168"/>
      <c r="S52" s="168" t="s">
        <v>25</v>
      </c>
      <c r="T52" s="168"/>
      <c r="U52" s="168"/>
      <c r="V52" s="168"/>
      <c r="W52" s="32"/>
      <c r="X52" s="32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306</v>
      </c>
      <c r="AM52" s="113">
        <f t="shared" si="11"/>
        <v>-27540000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168"/>
      <c r="L53" s="117"/>
      <c r="M53" s="168" t="s">
        <v>4713</v>
      </c>
      <c r="N53" s="113">
        <f>50*P44</f>
        <v>23000000</v>
      </c>
      <c r="P53" t="s">
        <v>25</v>
      </c>
      <c r="R53" s="115"/>
      <c r="S53" s="115" t="s">
        <v>25</v>
      </c>
      <c r="T53" s="115"/>
      <c r="U53" s="115" t="s">
        <v>25</v>
      </c>
      <c r="V53" s="115" t="s">
        <v>25</v>
      </c>
      <c r="W53" s="195" t="s">
        <v>25</v>
      </c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305</v>
      </c>
      <c r="AM53" s="113">
        <f t="shared" si="11"/>
        <v>1708000000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t="s">
        <v>25</v>
      </c>
      <c r="P54" t="s">
        <v>25</v>
      </c>
      <c r="Q54" s="96"/>
      <c r="R54" s="115"/>
      <c r="S54" s="115"/>
      <c r="T54" s="115" t="s">
        <v>25</v>
      </c>
      <c r="U54" s="115" t="s">
        <v>25</v>
      </c>
      <c r="V54" s="115"/>
      <c r="W54" s="195"/>
      <c r="X54" s="195" t="s">
        <v>25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301</v>
      </c>
      <c r="AM54" s="113">
        <f t="shared" si="11"/>
        <v>225750000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598</v>
      </c>
      <c r="L55" s="113">
        <f>SUM(L16:L42)</f>
        <v>507133638.68601549</v>
      </c>
      <c r="M55" s="168"/>
      <c r="N55" s="113">
        <f>SUM(N16:N54)</f>
        <v>562120907.51091838</v>
      </c>
      <c r="Q55" s="168" t="s">
        <v>657</v>
      </c>
      <c r="R55" s="168"/>
      <c r="S55" s="168"/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299</v>
      </c>
      <c r="AM55" s="170">
        <f t="shared" si="11"/>
        <v>-1268358000</v>
      </c>
      <c r="AN55" s="171" t="s">
        <v>4062</v>
      </c>
    </row>
    <row r="56" spans="1:45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 t="s">
        <v>599</v>
      </c>
      <c r="L56" s="113">
        <f>L16+L17+L23</f>
        <v>923077</v>
      </c>
      <c r="M56" s="168"/>
      <c r="N56" s="113">
        <f>N16+N17+N31</f>
        <v>641053</v>
      </c>
      <c r="Q56" s="168" t="s">
        <v>267</v>
      </c>
      <c r="R56" s="168" t="s">
        <v>180</v>
      </c>
      <c r="S56" s="168" t="s">
        <v>183</v>
      </c>
      <c r="T56" s="168" t="s">
        <v>8</v>
      </c>
      <c r="U56" s="168" t="s">
        <v>4363</v>
      </c>
      <c r="V56" s="73" t="s">
        <v>4365</v>
      </c>
      <c r="W56" s="32">
        <v>2</v>
      </c>
      <c r="X56" s="32">
        <v>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297</v>
      </c>
      <c r="AM56" s="113">
        <f t="shared" si="11"/>
        <v>1217700000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56" t="s">
        <v>716</v>
      </c>
      <c r="L57" s="1">
        <f>L55+N7</f>
        <v>577133638.68601549</v>
      </c>
      <c r="M57" s="113"/>
      <c r="N57" s="168"/>
      <c r="O57" s="115"/>
      <c r="P57" s="115"/>
      <c r="Q57" s="168">
        <v>0</v>
      </c>
      <c r="R57" s="168" t="s">
        <v>4172</v>
      </c>
      <c r="S57" s="168">
        <f>S81</f>
        <v>254</v>
      </c>
      <c r="T57" s="168"/>
      <c r="U57" s="168"/>
      <c r="V57" s="73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297</v>
      </c>
      <c r="AM57" s="113">
        <f t="shared" si="11"/>
        <v>1217700000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O58" s="96"/>
      <c r="P58" s="96"/>
      <c r="Q58" s="169">
        <v>863944</v>
      </c>
      <c r="R58" s="168" t="s">
        <v>4437</v>
      </c>
      <c r="S58" s="168">
        <f>S57-62</f>
        <v>192</v>
      </c>
      <c r="T58" s="191" t="s">
        <v>4509</v>
      </c>
      <c r="U58" s="168">
        <v>184.6</v>
      </c>
      <c r="V58" s="168">
        <f t="shared" ref="V58:V72" si="17">U58*(1+$R$77+$Q$15*S58/36500)</f>
        <v>214.59522410958905</v>
      </c>
      <c r="W58" s="32">
        <f t="shared" ref="W58:W72" si="18">V58*(1+$W$19/100)</f>
        <v>218.88712859178085</v>
      </c>
      <c r="X58" s="32">
        <f t="shared" ref="X58:X72" si="19">V58*(1+$X$19/100)</f>
        <v>223.17903307397262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296</v>
      </c>
      <c r="AM58" s="113">
        <f t="shared" si="11"/>
        <v>233840000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M59" s="25"/>
      <c r="O59" t="s">
        <v>25</v>
      </c>
      <c r="Q59" s="169">
        <v>1692313</v>
      </c>
      <c r="R59" s="168" t="s">
        <v>4512</v>
      </c>
      <c r="S59" s="198">
        <f>S58-21</f>
        <v>171</v>
      </c>
      <c r="T59" s="190" t="s">
        <v>4513</v>
      </c>
      <c r="U59" s="168">
        <v>168.5</v>
      </c>
      <c r="V59" s="168">
        <f t="shared" si="17"/>
        <v>193.16470684931508</v>
      </c>
      <c r="W59" s="32">
        <f t="shared" si="18"/>
        <v>197.02800098630138</v>
      </c>
      <c r="X59" s="32">
        <f t="shared" si="19"/>
        <v>200.8912951232877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281</v>
      </c>
      <c r="AM59" s="172">
        <f t="shared" si="11"/>
        <v>-1086065000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M60" s="25" t="s">
        <v>4080</v>
      </c>
      <c r="N60" s="99" t="s">
        <v>452</v>
      </c>
      <c r="O60" s="113">
        <f>O43*25</f>
        <v>59375000</v>
      </c>
      <c r="P60" s="115"/>
      <c r="Q60" s="169">
        <v>101153</v>
      </c>
      <c r="R60" s="168" t="s">
        <v>4515</v>
      </c>
      <c r="S60" s="198">
        <f>S59-1</f>
        <v>170</v>
      </c>
      <c r="T60" s="190" t="s">
        <v>4517</v>
      </c>
      <c r="U60" s="168">
        <v>166.7</v>
      </c>
      <c r="V60" s="168">
        <f t="shared" si="17"/>
        <v>190.97334684931508</v>
      </c>
      <c r="W60" s="32">
        <f t="shared" si="18"/>
        <v>194.79281378630139</v>
      </c>
      <c r="X60" s="32">
        <f t="shared" si="19"/>
        <v>198.61228072328768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275</v>
      </c>
      <c r="AM60" s="113">
        <f t="shared" si="11"/>
        <v>5170000000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M61" s="177"/>
      <c r="N61" s="99" t="s">
        <v>1087</v>
      </c>
      <c r="O61" s="113">
        <f>O27*25</f>
        <v>4084850</v>
      </c>
      <c r="P61" s="115"/>
      <c r="Q61" s="169">
        <v>183105</v>
      </c>
      <c r="R61" s="168" t="s">
        <v>4231</v>
      </c>
      <c r="S61" s="198">
        <f>S60-1</f>
        <v>169</v>
      </c>
      <c r="T61" s="190" t="s">
        <v>4521</v>
      </c>
      <c r="U61" s="168">
        <v>166.6</v>
      </c>
      <c r="V61" s="168">
        <f t="shared" si="17"/>
        <v>190.73098301369865</v>
      </c>
      <c r="W61" s="32">
        <f t="shared" si="18"/>
        <v>194.54560267397261</v>
      </c>
      <c r="X61" s="32">
        <f t="shared" si="19"/>
        <v>198.3602223342466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272</v>
      </c>
      <c r="AM61" s="113">
        <f t="shared" si="11"/>
        <v>136000000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M62" s="96" t="s">
        <v>4821</v>
      </c>
      <c r="N62" s="99" t="s">
        <v>751</v>
      </c>
      <c r="O62" s="113">
        <f>O21*25</f>
        <v>31426775</v>
      </c>
      <c r="Q62" s="169">
        <v>168846</v>
      </c>
      <c r="R62" s="168" t="s">
        <v>3691</v>
      </c>
      <c r="S62" s="198">
        <f>S61-30</f>
        <v>139</v>
      </c>
      <c r="T62" s="190" t="s">
        <v>4618</v>
      </c>
      <c r="U62" s="168">
        <v>172.2</v>
      </c>
      <c r="V62" s="168">
        <f t="shared" si="17"/>
        <v>193.17914958904112</v>
      </c>
      <c r="W62" s="32">
        <f t="shared" si="18"/>
        <v>197.04273258082193</v>
      </c>
      <c r="X62" s="32">
        <f t="shared" si="19"/>
        <v>200.90631557260278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271</v>
      </c>
      <c r="AM62" s="113">
        <f t="shared" si="11"/>
        <v>54200000</v>
      </c>
      <c r="AN62" s="20"/>
    </row>
    <row r="63" spans="1:45">
      <c r="E63" s="26"/>
      <c r="M63" s="122" t="s">
        <v>4410</v>
      </c>
      <c r="O63" s="114"/>
      <c r="Q63" s="169">
        <v>250962</v>
      </c>
      <c r="R63" s="168" t="s">
        <v>4657</v>
      </c>
      <c r="S63" s="198">
        <f>S62-10</f>
        <v>129</v>
      </c>
      <c r="T63" s="190" t="s">
        <v>4658</v>
      </c>
      <c r="U63" s="168">
        <v>5315.5</v>
      </c>
      <c r="V63" s="168">
        <f t="shared" si="17"/>
        <v>5922.311654794521</v>
      </c>
      <c r="W63" s="32">
        <f t="shared" si="18"/>
        <v>6040.7578878904114</v>
      </c>
      <c r="X63" s="32">
        <f t="shared" si="19"/>
        <v>6159.2041209863019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268</v>
      </c>
      <c r="AM63" s="113">
        <f t="shared" si="11"/>
        <v>268000000</v>
      </c>
      <c r="AN63" s="20"/>
    </row>
    <row r="64" spans="1:45">
      <c r="E64" s="26"/>
      <c r="M64" s="122" t="s">
        <v>4506</v>
      </c>
      <c r="N64" s="96"/>
      <c r="Q64" s="169">
        <v>6278475</v>
      </c>
      <c r="R64" s="5" t="s">
        <v>4892</v>
      </c>
      <c r="S64" s="198">
        <f>S63-65</f>
        <v>64</v>
      </c>
      <c r="T64" s="190" t="s">
        <v>4895</v>
      </c>
      <c r="U64" s="214">
        <v>6250.1</v>
      </c>
      <c r="V64" s="214">
        <f t="shared" si="17"/>
        <v>6651.9557446575345</v>
      </c>
      <c r="W64" s="32">
        <f t="shared" si="18"/>
        <v>6784.9948595506858</v>
      </c>
      <c r="X64" s="32">
        <f t="shared" si="19"/>
        <v>6918.0339744438361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265</v>
      </c>
      <c r="AM64" s="113">
        <f t="shared" si="11"/>
        <v>344500000</v>
      </c>
      <c r="AN64" s="20"/>
    </row>
    <row r="65" spans="1:40">
      <c r="M65" s="122" t="s">
        <v>4576</v>
      </c>
      <c r="N65" s="96"/>
      <c r="P65" t="s">
        <v>25</v>
      </c>
      <c r="Q65" s="169">
        <v>19918023</v>
      </c>
      <c r="R65" s="5" t="s">
        <v>4892</v>
      </c>
      <c r="S65" s="198">
        <f>S64</f>
        <v>64</v>
      </c>
      <c r="T65" s="190" t="s">
        <v>4896</v>
      </c>
      <c r="U65" s="214">
        <v>183</v>
      </c>
      <c r="V65" s="214">
        <f t="shared" si="17"/>
        <v>194.76614794520549</v>
      </c>
      <c r="W65" s="32">
        <f t="shared" si="18"/>
        <v>198.66147090410959</v>
      </c>
      <c r="X65" s="32">
        <f t="shared" si="19"/>
        <v>202.55679386301372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265</v>
      </c>
      <c r="AM65" s="113">
        <f t="shared" si="11"/>
        <v>263675000</v>
      </c>
      <c r="AN65" s="20"/>
    </row>
    <row r="66" spans="1:40" ht="45">
      <c r="K66" s="213" t="s">
        <v>4750</v>
      </c>
      <c r="L66" s="22" t="s">
        <v>4726</v>
      </c>
      <c r="M66" s="207" t="s">
        <v>4704</v>
      </c>
      <c r="N66" s="96"/>
      <c r="P66" s="115"/>
      <c r="Q66" s="169">
        <v>1200301</v>
      </c>
      <c r="R66" s="19" t="s">
        <v>4991</v>
      </c>
      <c r="S66" s="198">
        <f>S65-34</f>
        <v>30</v>
      </c>
      <c r="T66" s="190" t="s">
        <v>4993</v>
      </c>
      <c r="U66" s="214">
        <v>218.5</v>
      </c>
      <c r="V66" s="214">
        <f t="shared" si="17"/>
        <v>226.84969315068497</v>
      </c>
      <c r="W66" s="32">
        <f t="shared" si="18"/>
        <v>231.38668701369866</v>
      </c>
      <c r="X66" s="32">
        <f t="shared" si="19"/>
        <v>235.92368087671238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263</v>
      </c>
      <c r="AM66" s="113">
        <f t="shared" si="11"/>
        <v>3419000000</v>
      </c>
      <c r="AN66" s="20"/>
    </row>
    <row r="67" spans="1:40">
      <c r="A67" t="s">
        <v>25</v>
      </c>
      <c r="F67" t="s">
        <v>310</v>
      </c>
      <c r="G67" t="s">
        <v>4099</v>
      </c>
      <c r="K67" t="s">
        <v>4751</v>
      </c>
      <c r="M67" s="122"/>
      <c r="N67" s="96"/>
      <c r="P67" s="115" t="s">
        <v>25</v>
      </c>
      <c r="Q67" s="169">
        <v>349201</v>
      </c>
      <c r="R67" s="19" t="s">
        <v>5009</v>
      </c>
      <c r="S67" s="198">
        <f>S66-8</f>
        <v>22</v>
      </c>
      <c r="T67" s="190" t="s">
        <v>5010</v>
      </c>
      <c r="U67" s="214">
        <v>4574</v>
      </c>
      <c r="V67" s="214">
        <f t="shared" si="17"/>
        <v>4720.7188821917816</v>
      </c>
      <c r="W67" s="32">
        <f t="shared" si="18"/>
        <v>4815.1332598356175</v>
      </c>
      <c r="X67" s="32">
        <f t="shared" si="19"/>
        <v>4909.5476374794534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261</v>
      </c>
      <c r="AM67" s="113">
        <f t="shared" si="11"/>
        <v>-809100000</v>
      </c>
      <c r="AN67" s="20"/>
    </row>
    <row r="68" spans="1:40">
      <c r="F68" t="s">
        <v>4103</v>
      </c>
      <c r="G68" t="s">
        <v>4098</v>
      </c>
      <c r="K68" t="s">
        <v>4579</v>
      </c>
      <c r="L68" s="96"/>
      <c r="M68" s="122"/>
      <c r="O68" t="s">
        <v>25</v>
      </c>
      <c r="P68" s="115"/>
      <c r="Q68" s="169">
        <v>6135206</v>
      </c>
      <c r="R68" s="19" t="s">
        <v>5027</v>
      </c>
      <c r="S68" s="198">
        <f>S67-8</f>
        <v>14</v>
      </c>
      <c r="T68" s="190" t="s">
        <v>5028</v>
      </c>
      <c r="U68" s="214">
        <v>196.2</v>
      </c>
      <c r="V68" s="214">
        <f t="shared" si="17"/>
        <v>201.28937424657536</v>
      </c>
      <c r="W68" s="32">
        <f t="shared" si="18"/>
        <v>205.31516173150686</v>
      </c>
      <c r="X68" s="32">
        <f t="shared" si="19"/>
        <v>209.34094921643839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258</v>
      </c>
      <c r="AM68" s="113">
        <f t="shared" si="11"/>
        <v>11775120000</v>
      </c>
      <c r="AN68" s="20"/>
    </row>
    <row r="69" spans="1:40">
      <c r="F69" t="s">
        <v>4104</v>
      </c>
      <c r="G69" t="s">
        <v>4100</v>
      </c>
      <c r="K69" t="s">
        <v>4822</v>
      </c>
      <c r="M69" s="96">
        <f>O43+O21+O27-O49</f>
        <v>3751828</v>
      </c>
      <c r="N69" s="113">
        <f>M69*P43</f>
        <v>751866331.20000005</v>
      </c>
      <c r="P69" s="115"/>
      <c r="Q69" s="169">
        <v>104578</v>
      </c>
      <c r="R69" s="19" t="s">
        <v>5056</v>
      </c>
      <c r="S69" s="198">
        <f>S68-9</f>
        <v>5</v>
      </c>
      <c r="T69" s="190" t="s">
        <v>5058</v>
      </c>
      <c r="U69" s="214">
        <v>199.8</v>
      </c>
      <c r="V69" s="214">
        <f t="shared" si="17"/>
        <v>203.60331616438359</v>
      </c>
      <c r="W69" s="32">
        <f t="shared" si="18"/>
        <v>207.67538248767127</v>
      </c>
      <c r="X69" s="32">
        <f t="shared" si="19"/>
        <v>211.74744881095893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257</v>
      </c>
      <c r="AM69" s="113">
        <f t="shared" si="11"/>
        <v>8609500000</v>
      </c>
      <c r="AN69" s="20"/>
    </row>
    <row r="70" spans="1:40">
      <c r="G70" t="s">
        <v>4101</v>
      </c>
      <c r="K70" t="s">
        <v>4823</v>
      </c>
      <c r="M70" t="s">
        <v>4267</v>
      </c>
      <c r="P70" s="115"/>
      <c r="Q70" s="169">
        <v>119253</v>
      </c>
      <c r="R70" s="19" t="s">
        <v>5063</v>
      </c>
      <c r="S70" s="198">
        <f>S69-3</f>
        <v>2</v>
      </c>
      <c r="T70" s="190" t="s">
        <v>5065</v>
      </c>
      <c r="U70" s="214">
        <v>199.5</v>
      </c>
      <c r="V70" s="214">
        <f t="shared" si="17"/>
        <v>202.83848219178086</v>
      </c>
      <c r="W70" s="32">
        <f t="shared" si="18"/>
        <v>206.89525183561648</v>
      </c>
      <c r="X70" s="32">
        <f t="shared" si="19"/>
        <v>210.9520214794521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256</v>
      </c>
      <c r="AM70" s="117">
        <f t="shared" si="11"/>
        <v>3072000000</v>
      </c>
      <c r="AN70" s="20"/>
    </row>
    <row r="71" spans="1:40">
      <c r="G71" t="s">
        <v>4102</v>
      </c>
      <c r="K71" t="s">
        <v>4824</v>
      </c>
      <c r="M71" t="s">
        <v>4581</v>
      </c>
      <c r="N71" t="s">
        <v>25</v>
      </c>
      <c r="P71" s="115"/>
      <c r="Q71" s="169">
        <v>109068</v>
      </c>
      <c r="R71" s="19" t="s">
        <v>5073</v>
      </c>
      <c r="S71" s="198">
        <f>S70-2</f>
        <v>0</v>
      </c>
      <c r="T71" s="190" t="s">
        <v>5079</v>
      </c>
      <c r="U71" s="214">
        <v>4720.7</v>
      </c>
      <c r="V71" s="214">
        <f t="shared" si="17"/>
        <v>4792.4546399999999</v>
      </c>
      <c r="W71" s="32">
        <f t="shared" si="18"/>
        <v>4888.3037328</v>
      </c>
      <c r="X71" s="32">
        <f t="shared" si="19"/>
        <v>4984.1528256000001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255</v>
      </c>
      <c r="AM71" s="117">
        <f t="shared" si="11"/>
        <v>3952500000</v>
      </c>
      <c r="AN71" s="20"/>
    </row>
    <row r="72" spans="1:40">
      <c r="G72" t="s">
        <v>4106</v>
      </c>
      <c r="K72" t="s">
        <v>4539</v>
      </c>
      <c r="P72" s="115"/>
      <c r="Q72" s="169"/>
      <c r="R72" s="168"/>
      <c r="S72" s="113"/>
      <c r="T72" s="113"/>
      <c r="U72" s="168"/>
      <c r="V72" s="168">
        <f t="shared" si="17"/>
        <v>0</v>
      </c>
      <c r="W72" s="32">
        <f t="shared" si="18"/>
        <v>0</v>
      </c>
      <c r="X72" s="32">
        <f t="shared" si="19"/>
        <v>0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251</v>
      </c>
      <c r="AM72" s="117">
        <f t="shared" si="11"/>
        <v>37650000</v>
      </c>
      <c r="AN72" s="20"/>
    </row>
    <row r="73" spans="1:40">
      <c r="G73" t="s">
        <v>4105</v>
      </c>
      <c r="K73" t="s">
        <v>4583</v>
      </c>
      <c r="M73" t="s">
        <v>5080</v>
      </c>
      <c r="P73" s="115"/>
      <c r="Q73" s="113">
        <f>SUM(N26:N27)-SUM(Q57:Q72)</f>
        <v>670254.60000000149</v>
      </c>
      <c r="R73" s="168"/>
      <c r="S73" s="168"/>
      <c r="T73" s="168"/>
      <c r="U73" s="168"/>
      <c r="V73" s="168"/>
      <c r="W73" s="32"/>
      <c r="X73" s="32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250</v>
      </c>
      <c r="AM73" s="180">
        <f t="shared" si="11"/>
        <v>7250000000</v>
      </c>
      <c r="AN73" s="179" t="s">
        <v>4186</v>
      </c>
    </row>
    <row r="74" spans="1:40">
      <c r="K74" t="s">
        <v>4538</v>
      </c>
      <c r="P74" s="115"/>
      <c r="R74" s="115"/>
      <c r="S74" s="115"/>
      <c r="T74" s="115" t="s">
        <v>25</v>
      </c>
      <c r="U74" s="115"/>
      <c r="V74" s="115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235</v>
      </c>
      <c r="AM74" s="117">
        <f t="shared" si="11"/>
        <v>-30550000</v>
      </c>
      <c r="AN74" s="20" t="s">
        <v>4212</v>
      </c>
    </row>
    <row r="75" spans="1:40">
      <c r="G75" s="48" t="s">
        <v>788</v>
      </c>
      <c r="H75" s="202" t="s">
        <v>476</v>
      </c>
      <c r="K75" s="22" t="s">
        <v>4243</v>
      </c>
      <c r="O75" t="s">
        <v>25</v>
      </c>
      <c r="P75" t="s">
        <v>25</v>
      </c>
      <c r="Q75" s="99" t="s">
        <v>949</v>
      </c>
      <c r="R75" s="99">
        <v>1.03E-2</v>
      </c>
      <c r="S75" s="26" t="s">
        <v>25</v>
      </c>
      <c r="T75" t="s">
        <v>25</v>
      </c>
      <c r="U75" s="96" t="s">
        <v>25</v>
      </c>
      <c r="V75" s="115" t="s">
        <v>25</v>
      </c>
      <c r="W75" s="195" t="s">
        <v>25</v>
      </c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228</v>
      </c>
      <c r="AM75" s="117">
        <f>AJ75*AL75</f>
        <v>52896000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4535</v>
      </c>
      <c r="Q76" s="99" t="s">
        <v>61</v>
      </c>
      <c r="R76" s="99">
        <v>4.8999999999999998E-3</v>
      </c>
      <c r="T76" t="s">
        <v>25</v>
      </c>
      <c r="V76" t="s">
        <v>25</v>
      </c>
      <c r="W76" s="195" t="s">
        <v>25</v>
      </c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226</v>
      </c>
      <c r="AM76" s="117">
        <f t="shared" si="11"/>
        <v>-38420000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4296</v>
      </c>
      <c r="Q77" s="99" t="s">
        <v>6</v>
      </c>
      <c r="R77" s="99">
        <f>R75+R76</f>
        <v>1.52E-2</v>
      </c>
      <c r="T77" t="s">
        <v>25</v>
      </c>
      <c r="U77" s="96" t="s">
        <v>25</v>
      </c>
      <c r="V77" t="s">
        <v>25</v>
      </c>
      <c r="W77" s="195"/>
      <c r="X77" s="195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223</v>
      </c>
      <c r="AM77" s="117">
        <f t="shared" si="11"/>
        <v>-66900000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25</v>
      </c>
      <c r="W78" s="195"/>
      <c r="X78" s="195"/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220</v>
      </c>
      <c r="AM78" s="117">
        <f t="shared" si="11"/>
        <v>-2508000000</v>
      </c>
      <c r="AN78" s="20"/>
    </row>
    <row r="79" spans="1:40" ht="30">
      <c r="D79" s="1" t="s">
        <v>306</v>
      </c>
      <c r="E79" s="1">
        <v>80000</v>
      </c>
      <c r="G79" s="47">
        <v>0</v>
      </c>
      <c r="H79" s="202" t="s">
        <v>784</v>
      </c>
      <c r="K79" s="96"/>
      <c r="M79" s="194" t="s">
        <v>4534</v>
      </c>
      <c r="Q79" s="73" t="s">
        <v>4295</v>
      </c>
      <c r="R79" s="112"/>
      <c r="S79" s="112"/>
      <c r="T79" s="112"/>
      <c r="U79" s="168" t="s">
        <v>4363</v>
      </c>
      <c r="V79" s="36" t="s">
        <v>4365</v>
      </c>
      <c r="W79" s="32"/>
      <c r="X79" s="32"/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207</v>
      </c>
      <c r="AM79" s="117">
        <f>AJ79*AL79</f>
        <v>-2070000000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s="96"/>
      <c r="M80" t="s">
        <v>4535</v>
      </c>
      <c r="Q80" s="112" t="s">
        <v>267</v>
      </c>
      <c r="R80" s="112" t="s">
        <v>180</v>
      </c>
      <c r="S80" s="112" t="s">
        <v>183</v>
      </c>
      <c r="T80" s="112" t="s">
        <v>8</v>
      </c>
      <c r="U80" s="168"/>
      <c r="V80" s="99"/>
      <c r="W80" s="32">
        <v>2</v>
      </c>
      <c r="X80" s="32">
        <v>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206</v>
      </c>
      <c r="AM80" s="117">
        <f>AJ80*AL80</f>
        <v>-504700000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96"/>
      <c r="M81" t="s">
        <v>4538</v>
      </c>
      <c r="Q81" s="35">
        <v>184971545</v>
      </c>
      <c r="R81" s="5" t="s">
        <v>4172</v>
      </c>
      <c r="S81" s="5">
        <v>254</v>
      </c>
      <c r="T81" s="5" t="s">
        <v>4346</v>
      </c>
      <c r="U81" s="168">
        <v>192</v>
      </c>
      <c r="V81" s="99">
        <f t="shared" ref="V81:V128" si="22">U81*(1+$R$77+$Q$15*S81/36500)</f>
        <v>232.3294684931507</v>
      </c>
      <c r="W81" s="32">
        <f t="shared" ref="W81:W99" si="23">V81*(1+$W$19/100)</f>
        <v>236.97605786301372</v>
      </c>
      <c r="X81" s="32">
        <f t="shared" ref="X81:X99" si="24">V81*(1+$X$19/100)</f>
        <v>241.62264723287674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201</v>
      </c>
      <c r="AM81" s="117">
        <f t="shared" si="11"/>
        <v>-91672281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96"/>
      <c r="M82" t="s">
        <v>4539</v>
      </c>
      <c r="Q82" s="35">
        <v>9560464</v>
      </c>
      <c r="R82" s="5" t="s">
        <v>4299</v>
      </c>
      <c r="S82" s="5">
        <f>S81-31</f>
        <v>223</v>
      </c>
      <c r="T82" s="5" t="s">
        <v>4312</v>
      </c>
      <c r="U82" s="168">
        <v>214.57</v>
      </c>
      <c r="V82" s="99">
        <f t="shared" si="22"/>
        <v>254.53763057534249</v>
      </c>
      <c r="W82" s="32">
        <f t="shared" si="23"/>
        <v>259.62838318684936</v>
      </c>
      <c r="X82" s="32">
        <f t="shared" si="24"/>
        <v>264.71913579835621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200</v>
      </c>
      <c r="AM82" s="117">
        <f t="shared" si="11"/>
        <v>-100000000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s="96"/>
      <c r="L83" s="96"/>
      <c r="M83" s="96"/>
      <c r="N83" s="96"/>
      <c r="Q83" s="35">
        <v>2000000</v>
      </c>
      <c r="R83" s="5" t="s">
        <v>4342</v>
      </c>
      <c r="S83" s="5">
        <f>S82-11</f>
        <v>212</v>
      </c>
      <c r="T83" s="5" t="s">
        <v>4345</v>
      </c>
      <c r="U83" s="168">
        <v>206.8</v>
      </c>
      <c r="V83" s="99">
        <f t="shared" si="22"/>
        <v>243.57527232876717</v>
      </c>
      <c r="W83" s="32">
        <f t="shared" si="23"/>
        <v>248.44677777534253</v>
      </c>
      <c r="X83" s="32">
        <f t="shared" si="24"/>
        <v>253.31828322191785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1"/>
        <v>198</v>
      </c>
      <c r="AM83" s="117">
        <f t="shared" si="11"/>
        <v>-1234405260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s="96"/>
      <c r="L84" s="96"/>
      <c r="M84" s="96"/>
      <c r="N84" s="96"/>
      <c r="Q84" s="35">
        <v>1429825</v>
      </c>
      <c r="R84" s="5" t="s">
        <v>4372</v>
      </c>
      <c r="S84" s="5">
        <f>S83-7</f>
        <v>205</v>
      </c>
      <c r="T84" s="5" t="s">
        <v>4381</v>
      </c>
      <c r="U84" s="168">
        <v>203.9</v>
      </c>
      <c r="V84" s="99">
        <f t="shared" si="22"/>
        <v>239.06464986301373</v>
      </c>
      <c r="W84" s="32">
        <f t="shared" si="23"/>
        <v>243.84594286027399</v>
      </c>
      <c r="X84" s="32">
        <f t="shared" si="24"/>
        <v>248.62723585753429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195</v>
      </c>
      <c r="AM84" s="117">
        <f t="shared" si="11"/>
        <v>380436615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Q85" s="35">
        <v>1420747</v>
      </c>
      <c r="R85" s="5" t="s">
        <v>4372</v>
      </c>
      <c r="S85" s="5">
        <f>S84</f>
        <v>205</v>
      </c>
      <c r="T85" s="5" t="s">
        <v>4383</v>
      </c>
      <c r="U85" s="168">
        <v>203.1</v>
      </c>
      <c r="V85" s="99">
        <f t="shared" si="22"/>
        <v>238.12668164383564</v>
      </c>
      <c r="W85" s="32">
        <f t="shared" si="23"/>
        <v>242.88921527671235</v>
      </c>
      <c r="X85" s="32">
        <f t="shared" si="24"/>
        <v>247.65174890958906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191</v>
      </c>
      <c r="AM85" s="117">
        <f t="shared" si="11"/>
        <v>114600000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Q86" s="35">
        <v>2010885</v>
      </c>
      <c r="R86" s="5" t="s">
        <v>4392</v>
      </c>
      <c r="S86" s="5">
        <f>S85-3</f>
        <v>202</v>
      </c>
      <c r="T86" s="5" t="s">
        <v>4398</v>
      </c>
      <c r="U86" s="168">
        <v>202.1</v>
      </c>
      <c r="V86" s="99">
        <f t="shared" si="22"/>
        <v>236.48911452054799</v>
      </c>
      <c r="W86" s="32">
        <f t="shared" si="23"/>
        <v>241.21889681095894</v>
      </c>
      <c r="X86" s="32">
        <f t="shared" si="24"/>
        <v>245.94867910136992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186</v>
      </c>
      <c r="AM86" s="117">
        <f t="shared" si="11"/>
        <v>1395000000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P87" s="115"/>
      <c r="Q87" s="35">
        <v>1994038</v>
      </c>
      <c r="R87" s="5" t="s">
        <v>4403</v>
      </c>
      <c r="S87" s="5">
        <f>S86-3</f>
        <v>199</v>
      </c>
      <c r="T87" s="5" t="s">
        <v>4419</v>
      </c>
      <c r="U87" s="168">
        <v>5560.3</v>
      </c>
      <c r="V87" s="99">
        <f t="shared" si="22"/>
        <v>6493.6382476712342</v>
      </c>
      <c r="W87" s="32">
        <f t="shared" si="23"/>
        <v>6623.5110126246591</v>
      </c>
      <c r="X87" s="32">
        <f t="shared" si="24"/>
        <v>6753.3837775780839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184</v>
      </c>
      <c r="AM87" s="117">
        <f t="shared" si="11"/>
        <v>-108158144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P88" s="128"/>
      <c r="Q88" s="35">
        <v>444</v>
      </c>
      <c r="R88" s="5" t="s">
        <v>4403</v>
      </c>
      <c r="S88" s="5">
        <f>S87</f>
        <v>199</v>
      </c>
      <c r="T88" s="5" t="s">
        <v>4608</v>
      </c>
      <c r="U88" s="168">
        <v>441.8</v>
      </c>
      <c r="V88" s="99">
        <f t="shared" si="22"/>
        <v>515.95945863013708</v>
      </c>
      <c r="W88" s="32">
        <f t="shared" si="23"/>
        <v>526.27864780273978</v>
      </c>
      <c r="X88" s="32">
        <f t="shared" si="24"/>
        <v>536.5978369753426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181</v>
      </c>
      <c r="AM88" s="117">
        <f t="shared" si="11"/>
        <v>-164255509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P89" s="128"/>
      <c r="Q89" s="35">
        <v>1971103</v>
      </c>
      <c r="R89" s="5" t="s">
        <v>4414</v>
      </c>
      <c r="S89" s="5">
        <f>S88-1</f>
        <v>198</v>
      </c>
      <c r="T89" s="5" t="s">
        <v>4415</v>
      </c>
      <c r="U89" s="168">
        <v>196.2</v>
      </c>
      <c r="V89" s="99">
        <f t="shared" si="22"/>
        <v>228.98313863013698</v>
      </c>
      <c r="W89" s="32">
        <f t="shared" si="23"/>
        <v>233.56280140273972</v>
      </c>
      <c r="X89" s="32">
        <f t="shared" si="24"/>
        <v>238.14246417534247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181</v>
      </c>
      <c r="AM89" s="117">
        <f t="shared" si="11"/>
        <v>443450000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P90" s="115"/>
      <c r="Q90" s="35">
        <v>1049856</v>
      </c>
      <c r="R90" s="5" t="s">
        <v>4437</v>
      </c>
      <c r="S90" s="5">
        <f>S89-6</f>
        <v>192</v>
      </c>
      <c r="T90" s="5" t="s">
        <v>4476</v>
      </c>
      <c r="U90" s="168">
        <v>184.5</v>
      </c>
      <c r="V90" s="99">
        <f t="shared" si="22"/>
        <v>214.47897534246579</v>
      </c>
      <c r="W90" s="32">
        <f t="shared" si="23"/>
        <v>218.76855484931511</v>
      </c>
      <c r="X90" s="32">
        <f t="shared" si="24"/>
        <v>223.05813435616443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180</v>
      </c>
      <c r="AM90" s="117">
        <f t="shared" si="11"/>
        <v>270000000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L91" s="96"/>
      <c r="M91" s="96"/>
      <c r="N91" s="96"/>
      <c r="Q91" s="35">
        <v>1783234</v>
      </c>
      <c r="R91" s="5" t="s">
        <v>4439</v>
      </c>
      <c r="S91" s="5">
        <f>S90-2</f>
        <v>190</v>
      </c>
      <c r="T91" s="5" t="s">
        <v>4440</v>
      </c>
      <c r="U91" s="168">
        <v>177.5</v>
      </c>
      <c r="V91" s="99">
        <f t="shared" si="22"/>
        <v>206.06923287671236</v>
      </c>
      <c r="W91" s="32">
        <f t="shared" si="23"/>
        <v>210.19061753424663</v>
      </c>
      <c r="X91" s="32">
        <f t="shared" si="24"/>
        <v>214.31200219178086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179</v>
      </c>
      <c r="AM91" s="117">
        <f t="shared" si="11"/>
        <v>473992000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K92" s="96"/>
      <c r="L92" s="96"/>
      <c r="M92" s="96"/>
      <c r="N92" s="96"/>
      <c r="Q92" s="35">
        <v>1662335</v>
      </c>
      <c r="R92" s="5" t="s">
        <v>4443</v>
      </c>
      <c r="S92" s="5">
        <f>S91-5</f>
        <v>185</v>
      </c>
      <c r="T92" s="219" t="s">
        <v>4591</v>
      </c>
      <c r="U92" s="168">
        <v>190.3</v>
      </c>
      <c r="V92" s="99">
        <f t="shared" si="22"/>
        <v>220.19951890410962</v>
      </c>
      <c r="W92" s="32">
        <f t="shared" si="23"/>
        <v>224.60350928219182</v>
      </c>
      <c r="X92" s="32">
        <f t="shared" si="24"/>
        <v>229.00749966027402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178</v>
      </c>
      <c r="AM92" s="117">
        <f t="shared" si="11"/>
        <v>109470000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 t="s">
        <v>25</v>
      </c>
      <c r="K93" t="s">
        <v>25</v>
      </c>
      <c r="L93" s="96"/>
      <c r="M93" s="96"/>
      <c r="N93" s="96"/>
      <c r="Q93" s="35">
        <v>2272487</v>
      </c>
      <c r="R93" s="5" t="s">
        <v>4601</v>
      </c>
      <c r="S93" s="5">
        <f>S92-42</f>
        <v>143</v>
      </c>
      <c r="T93" s="5" t="s">
        <v>4602</v>
      </c>
      <c r="U93" s="168">
        <v>174.9</v>
      </c>
      <c r="V93" s="99">
        <f t="shared" si="22"/>
        <v>196.74477041095892</v>
      </c>
      <c r="W93" s="32">
        <f t="shared" si="23"/>
        <v>200.6796658191781</v>
      </c>
      <c r="X93" s="32">
        <f t="shared" si="24"/>
        <v>204.61456122739727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174</v>
      </c>
      <c r="AM93" s="117">
        <f t="shared" si="11"/>
        <v>2436000000</v>
      </c>
      <c r="AN93" s="20"/>
    </row>
    <row r="94" spans="4:52">
      <c r="D94" s="32" t="s">
        <v>322</v>
      </c>
      <c r="E94" s="1">
        <v>150000</v>
      </c>
      <c r="Q94" s="35">
        <v>3975257</v>
      </c>
      <c r="R94" s="5" t="s">
        <v>4606</v>
      </c>
      <c r="S94" s="5">
        <f>S93-1</f>
        <v>142</v>
      </c>
      <c r="T94" s="5" t="s">
        <v>4607</v>
      </c>
      <c r="U94" s="168">
        <v>173</v>
      </c>
      <c r="V94" s="99">
        <f t="shared" si="22"/>
        <v>194.47475068493154</v>
      </c>
      <c r="W94" s="32">
        <f t="shared" si="23"/>
        <v>198.36424569863016</v>
      </c>
      <c r="X94" s="32">
        <f t="shared" si="24"/>
        <v>202.25374071232881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172</v>
      </c>
      <c r="AM94" s="117">
        <f t="shared" si="11"/>
        <v>225836000</v>
      </c>
      <c r="AN94" s="20"/>
      <c r="AQ94" t="s">
        <v>25</v>
      </c>
    </row>
    <row r="95" spans="4:52">
      <c r="D95" s="32" t="s">
        <v>324</v>
      </c>
      <c r="E95" s="1">
        <v>75000</v>
      </c>
      <c r="Q95" s="35">
        <v>1031662</v>
      </c>
      <c r="R95" s="5" t="s">
        <v>4234</v>
      </c>
      <c r="S95" s="5">
        <f>S94-1</f>
        <v>141</v>
      </c>
      <c r="T95" s="5" t="s">
        <v>4610</v>
      </c>
      <c r="U95" s="168">
        <v>171.2</v>
      </c>
      <c r="V95" s="99">
        <f t="shared" si="22"/>
        <v>192.31998246575344</v>
      </c>
      <c r="W95" s="32">
        <f t="shared" si="23"/>
        <v>196.1663821150685</v>
      </c>
      <c r="X95" s="32">
        <f t="shared" si="24"/>
        <v>200.01278176438359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172</v>
      </c>
      <c r="AM95" s="117">
        <f t="shared" si="11"/>
        <v>390268000</v>
      </c>
      <c r="AN95" s="99"/>
    </row>
    <row r="96" spans="4:52">
      <c r="D96" s="32" t="s">
        <v>314</v>
      </c>
      <c r="E96" s="1">
        <v>140000</v>
      </c>
      <c r="F96" s="214" t="s">
        <v>4698</v>
      </c>
      <c r="G96" s="214" t="s">
        <v>941</v>
      </c>
      <c r="H96" s="214" t="s">
        <v>4685</v>
      </c>
      <c r="I96" s="214" t="s">
        <v>4684</v>
      </c>
      <c r="J96" s="32" t="s">
        <v>4540</v>
      </c>
      <c r="K96" s="214" t="s">
        <v>4677</v>
      </c>
      <c r="L96" s="32" t="s">
        <v>4679</v>
      </c>
      <c r="M96" s="32" t="s">
        <v>4649</v>
      </c>
      <c r="N96" s="214" t="s">
        <v>4650</v>
      </c>
      <c r="Q96" s="35">
        <v>577500</v>
      </c>
      <c r="R96" s="5" t="s">
        <v>4234</v>
      </c>
      <c r="S96" s="5">
        <f>S95</f>
        <v>141</v>
      </c>
      <c r="T96" s="5" t="s">
        <v>4614</v>
      </c>
      <c r="U96" s="168">
        <v>175</v>
      </c>
      <c r="V96" s="99">
        <f t="shared" si="22"/>
        <v>196.58876712328771</v>
      </c>
      <c r="W96" s="32">
        <f t="shared" si="23"/>
        <v>200.52054246575346</v>
      </c>
      <c r="X96" s="32">
        <f t="shared" si="24"/>
        <v>204.45231780821922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171</v>
      </c>
      <c r="AM96" s="117">
        <f t="shared" si="11"/>
        <v>128250000</v>
      </c>
      <c r="AN96" s="99"/>
      <c r="AQ96" t="s">
        <v>25</v>
      </c>
    </row>
    <row r="97" spans="4:47">
      <c r="D97" s="2" t="s">
        <v>478</v>
      </c>
      <c r="E97" s="3">
        <v>1083333</v>
      </c>
      <c r="F97" s="200">
        <f>$L$104/G97</f>
        <v>22954.091816367265</v>
      </c>
      <c r="G97" s="200">
        <f>P43</f>
        <v>200.4</v>
      </c>
      <c r="H97" s="200" t="s">
        <v>4803</v>
      </c>
      <c r="I97" s="200" t="s">
        <v>4802</v>
      </c>
      <c r="J97" s="215" t="s">
        <v>4243</v>
      </c>
      <c r="K97" s="200">
        <v>122</v>
      </c>
      <c r="L97" s="216">
        <f>K97*$L$104</f>
        <v>561200000</v>
      </c>
      <c r="M97" s="216">
        <f>N21+N27+N43</f>
        <v>760611186</v>
      </c>
      <c r="N97" s="184">
        <f t="shared" ref="N97:N101" si="26">L97-M97</f>
        <v>-199411186</v>
      </c>
      <c r="Q97" s="35">
        <v>12636487</v>
      </c>
      <c r="R97" s="5" t="s">
        <v>3691</v>
      </c>
      <c r="S97" s="5">
        <f>S96-2</f>
        <v>139</v>
      </c>
      <c r="T97" s="5" t="s">
        <v>4617</v>
      </c>
      <c r="U97" s="168">
        <v>172.1</v>
      </c>
      <c r="V97" s="99">
        <f t="shared" si="22"/>
        <v>193.06696657534249</v>
      </c>
      <c r="W97" s="32">
        <f t="shared" si="23"/>
        <v>196.92830590684935</v>
      </c>
      <c r="X97" s="32">
        <f t="shared" si="24"/>
        <v>200.7896452383562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167</v>
      </c>
      <c r="AM97" s="117">
        <f t="shared" si="11"/>
        <v>317300000</v>
      </c>
      <c r="AN97" s="99"/>
    </row>
    <row r="98" spans="4:47">
      <c r="D98" s="2"/>
      <c r="E98" s="3"/>
      <c r="F98" s="214">
        <f>$L$104/G98</f>
        <v>976.12732095490719</v>
      </c>
      <c r="G98" s="214">
        <f>P41</f>
        <v>4712.5</v>
      </c>
      <c r="H98" s="214" t="s">
        <v>4995</v>
      </c>
      <c r="I98" s="214" t="s">
        <v>4996</v>
      </c>
      <c r="J98" s="32" t="s">
        <v>4394</v>
      </c>
      <c r="K98" s="214">
        <v>44</v>
      </c>
      <c r="L98" s="1">
        <f>K98*$L$104</f>
        <v>202400000</v>
      </c>
      <c r="M98" s="1">
        <f>N23+N41+N26</f>
        <v>205733612.5</v>
      </c>
      <c r="N98" s="113">
        <f t="shared" si="26"/>
        <v>-3333612.5</v>
      </c>
      <c r="Q98" s="169">
        <v>60508</v>
      </c>
      <c r="R98" s="168" t="s">
        <v>4620</v>
      </c>
      <c r="S98" s="168">
        <f>S97-3</f>
        <v>136</v>
      </c>
      <c r="T98" s="168" t="s">
        <v>4916</v>
      </c>
      <c r="U98" s="168">
        <v>1204.7</v>
      </c>
      <c r="V98" s="99">
        <f t="shared" si="22"/>
        <v>1348.6963057534249</v>
      </c>
      <c r="W98" s="32">
        <f t="shared" si="23"/>
        <v>1375.6702318684934</v>
      </c>
      <c r="X98" s="32">
        <f t="shared" si="24"/>
        <v>1402.6441579835619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164</v>
      </c>
      <c r="AM98" s="117">
        <f t="shared" si="11"/>
        <v>1049600000</v>
      </c>
      <c r="AN98" s="99"/>
      <c r="AT98" s="96" t="s">
        <v>25</v>
      </c>
    </row>
    <row r="99" spans="4:47">
      <c r="D99" s="2"/>
      <c r="E99" s="3"/>
      <c r="F99" s="200">
        <v>0</v>
      </c>
      <c r="G99" s="200">
        <v>0</v>
      </c>
      <c r="H99" s="200" t="s">
        <v>3881</v>
      </c>
      <c r="I99" s="200" t="s">
        <v>4688</v>
      </c>
      <c r="J99" s="215" t="s">
        <v>4390</v>
      </c>
      <c r="K99" s="200">
        <v>0</v>
      </c>
      <c r="L99" s="216">
        <f>K99*$L$104</f>
        <v>0</v>
      </c>
      <c r="M99" s="216">
        <f>0</f>
        <v>0</v>
      </c>
      <c r="N99" s="184">
        <f t="shared" si="26"/>
        <v>0</v>
      </c>
      <c r="Q99" s="39">
        <v>11121445</v>
      </c>
      <c r="R99" s="5" t="s">
        <v>4620</v>
      </c>
      <c r="S99" s="5">
        <f>S98</f>
        <v>136</v>
      </c>
      <c r="T99" s="5" t="s">
        <v>4815</v>
      </c>
      <c r="U99" s="168">
        <v>171.8</v>
      </c>
      <c r="V99" s="99">
        <f t="shared" si="22"/>
        <v>192.33504219178087</v>
      </c>
      <c r="W99" s="32">
        <f t="shared" si="23"/>
        <v>196.18174303561651</v>
      </c>
      <c r="X99" s="32">
        <f t="shared" si="24"/>
        <v>200.02844387945211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163</v>
      </c>
      <c r="AM99" s="117">
        <f t="shared" si="11"/>
        <v>815000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14">
        <f>$L$104/G100</f>
        <v>5994.2663539223349</v>
      </c>
      <c r="G100" s="214">
        <f>P42</f>
        <v>767.4</v>
      </c>
      <c r="H100" s="214" t="s">
        <v>4687</v>
      </c>
      <c r="I100" s="214" t="s">
        <v>4686</v>
      </c>
      <c r="J100" s="32" t="s">
        <v>4409</v>
      </c>
      <c r="K100" s="214">
        <v>44</v>
      </c>
      <c r="L100" s="1">
        <f>K100*$L$104</f>
        <v>202400000</v>
      </c>
      <c r="M100" s="1">
        <f>N42+N22</f>
        <v>204352480.80000001</v>
      </c>
      <c r="N100" s="113">
        <f t="shared" si="26"/>
        <v>-1952480.8000000119</v>
      </c>
      <c r="Q100" s="35">
        <v>12656982</v>
      </c>
      <c r="R100" s="5" t="s">
        <v>4629</v>
      </c>
      <c r="S100" s="5">
        <f>S99-2</f>
        <v>134</v>
      </c>
      <c r="T100" s="5" t="s">
        <v>4630</v>
      </c>
      <c r="U100" s="168">
        <v>5249.9</v>
      </c>
      <c r="V100" s="99">
        <f t="shared" si="22"/>
        <v>5869.3594334246582</v>
      </c>
      <c r="W100" s="32">
        <f t="shared" ref="W100:W128" si="27">V100*(1+$W$19/100)</f>
        <v>5986.746622093151</v>
      </c>
      <c r="X100" s="32">
        <f t="shared" ref="X100:X128" si="28">V100*(1+$X$19/100)</f>
        <v>6104.1338107616448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158</v>
      </c>
      <c r="AM100" s="117">
        <f t="shared" si="11"/>
        <v>-276523384</v>
      </c>
      <c r="AN100" s="99"/>
    </row>
    <row r="101" spans="4:47">
      <c r="D101" s="2" t="s">
        <v>328</v>
      </c>
      <c r="E101" s="3">
        <f>E100/30</f>
        <v>112777.76666666666</v>
      </c>
      <c r="F101" s="200"/>
      <c r="G101" s="200"/>
      <c r="H101" s="200"/>
      <c r="I101" s="200"/>
      <c r="J101" s="215" t="s">
        <v>4661</v>
      </c>
      <c r="K101" s="200">
        <v>1</v>
      </c>
      <c r="L101" s="216">
        <f>K101*$L$104</f>
        <v>4600000</v>
      </c>
      <c r="M101" s="216">
        <f>N40</f>
        <v>74635</v>
      </c>
      <c r="N101" s="184">
        <f t="shared" si="26"/>
        <v>4525365</v>
      </c>
      <c r="Q101" s="35">
        <v>48637534</v>
      </c>
      <c r="R101" s="5" t="s">
        <v>4631</v>
      </c>
      <c r="S101" s="5">
        <f>S100-1</f>
        <v>133</v>
      </c>
      <c r="T101" s="5" t="s">
        <v>4635</v>
      </c>
      <c r="U101" s="168">
        <v>5330</v>
      </c>
      <c r="V101" s="99">
        <f t="shared" si="22"/>
        <v>5954.8220273972602</v>
      </c>
      <c r="W101" s="32">
        <f t="shared" si="27"/>
        <v>6073.9184679452055</v>
      </c>
      <c r="X101" s="32">
        <f t="shared" si="28"/>
        <v>6193.0149084931509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157</v>
      </c>
      <c r="AM101" s="117">
        <f t="shared" si="11"/>
        <v>62800000</v>
      </c>
      <c r="AN101" s="99"/>
    </row>
    <row r="102" spans="4:47">
      <c r="F102" s="214"/>
      <c r="G102" s="214"/>
      <c r="H102" s="214"/>
      <c r="I102" s="214"/>
      <c r="J102" s="32" t="s">
        <v>4774</v>
      </c>
      <c r="K102" s="214"/>
      <c r="L102" s="1"/>
      <c r="M102" s="1"/>
      <c r="N102" s="113">
        <v>50000000</v>
      </c>
      <c r="Q102" s="35">
        <v>40048573</v>
      </c>
      <c r="R102" s="5" t="s">
        <v>4631</v>
      </c>
      <c r="S102" s="5">
        <f>S101</f>
        <v>133</v>
      </c>
      <c r="T102" s="5" t="s">
        <v>4636</v>
      </c>
      <c r="U102" s="168">
        <v>498.9</v>
      </c>
      <c r="V102" s="99">
        <f t="shared" si="22"/>
        <v>557.38474849315071</v>
      </c>
      <c r="W102" s="32">
        <f t="shared" si="27"/>
        <v>568.53244346301369</v>
      </c>
      <c r="X102" s="32">
        <f t="shared" si="28"/>
        <v>579.68013843287679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157</v>
      </c>
      <c r="AM102" s="117">
        <f t="shared" si="11"/>
        <v>-330551097</v>
      </c>
      <c r="AN102" s="99"/>
      <c r="AO102" t="s">
        <v>25</v>
      </c>
    </row>
    <row r="103" spans="4:47">
      <c r="F103" s="200"/>
      <c r="G103" s="200"/>
      <c r="H103" s="200"/>
      <c r="I103" s="200"/>
      <c r="J103" s="215" t="s">
        <v>4893</v>
      </c>
      <c r="K103" s="200">
        <f>SUM(K97:K101)</f>
        <v>211</v>
      </c>
      <c r="L103" s="216"/>
      <c r="M103" s="216"/>
      <c r="N103" s="184"/>
      <c r="Q103" s="35">
        <v>37856769</v>
      </c>
      <c r="R103" s="5" t="s">
        <v>4646</v>
      </c>
      <c r="S103" s="5">
        <f>S102-1</f>
        <v>132</v>
      </c>
      <c r="T103" s="5" t="s">
        <v>4648</v>
      </c>
      <c r="U103" s="168">
        <v>5393.6</v>
      </c>
      <c r="V103" s="99">
        <f t="shared" si="22"/>
        <v>6021.7401336986313</v>
      </c>
      <c r="W103" s="32">
        <f t="shared" si="27"/>
        <v>6142.174936372604</v>
      </c>
      <c r="X103" s="32">
        <f t="shared" si="28"/>
        <v>6262.6097390465766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156</v>
      </c>
      <c r="AM103" s="117">
        <f t="shared" si="11"/>
        <v>-862308408</v>
      </c>
      <c r="AN103" s="99"/>
    </row>
    <row r="104" spans="4:47">
      <c r="F104" s="214"/>
      <c r="G104" s="214"/>
      <c r="H104" s="214" t="s">
        <v>25</v>
      </c>
      <c r="I104" s="214"/>
      <c r="J104" s="32"/>
      <c r="K104" s="214">
        <v>8</v>
      </c>
      <c r="L104" s="39">
        <f>10*P44</f>
        <v>4600000</v>
      </c>
      <c r="M104" s="1">
        <f>K104*L104</f>
        <v>36800000</v>
      </c>
      <c r="N104" s="113">
        <f>SUM(N97:N102)-M104</f>
        <v>-186971914.30000001</v>
      </c>
      <c r="Q104" s="35">
        <v>155151</v>
      </c>
      <c r="R104" s="5" t="s">
        <v>4657</v>
      </c>
      <c r="S104" s="5">
        <f>S103-3</f>
        <v>129</v>
      </c>
      <c r="T104" s="5" t="s">
        <v>4659</v>
      </c>
      <c r="U104" s="168">
        <v>5325.9</v>
      </c>
      <c r="V104" s="99">
        <f t="shared" si="22"/>
        <v>5933.8989073972607</v>
      </c>
      <c r="W104" s="32">
        <f t="shared" si="27"/>
        <v>6052.5768855452061</v>
      </c>
      <c r="X104" s="32">
        <f t="shared" si="28"/>
        <v>6171.2548636931515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156</v>
      </c>
      <c r="AM104" s="117">
        <f t="shared" si="11"/>
        <v>608400000</v>
      </c>
      <c r="AN104" s="99"/>
    </row>
    <row r="105" spans="4:47">
      <c r="F105" s="200"/>
      <c r="G105" s="200"/>
      <c r="H105" s="200"/>
      <c r="I105" s="200"/>
      <c r="J105" s="215"/>
      <c r="K105" s="246" t="s">
        <v>4913</v>
      </c>
      <c r="L105" s="216" t="s">
        <v>4253</v>
      </c>
      <c r="M105" s="216" t="s">
        <v>4670</v>
      </c>
      <c r="N105" s="184" t="s">
        <v>4671</v>
      </c>
      <c r="P105" s="114"/>
      <c r="Q105" s="35">
        <v>8938737</v>
      </c>
      <c r="R105" s="5" t="s">
        <v>4662</v>
      </c>
      <c r="S105" s="5">
        <f>S104-1</f>
        <v>128</v>
      </c>
      <c r="T105" s="5" t="s">
        <v>4664</v>
      </c>
      <c r="U105" s="168">
        <v>5179.5</v>
      </c>
      <c r="V105" s="99">
        <f t="shared" si="22"/>
        <v>5766.8127287671232</v>
      </c>
      <c r="W105" s="32">
        <f t="shared" si="27"/>
        <v>5882.1489833424657</v>
      </c>
      <c r="X105" s="32">
        <f t="shared" si="28"/>
        <v>5997.4852379178083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153</v>
      </c>
      <c r="AM105" s="117">
        <f t="shared" si="11"/>
        <v>-607372362</v>
      </c>
      <c r="AN105" s="99"/>
    </row>
    <row r="106" spans="4:47">
      <c r="F106" s="214"/>
      <c r="G106" s="214"/>
      <c r="H106" s="214"/>
      <c r="I106" s="214"/>
      <c r="J106" s="32" t="s">
        <v>4678</v>
      </c>
      <c r="K106" s="214"/>
      <c r="L106" s="1"/>
      <c r="M106" s="1"/>
      <c r="N106" s="113"/>
      <c r="Q106" s="35">
        <v>2595417</v>
      </c>
      <c r="R106" s="5" t="s">
        <v>4672</v>
      </c>
      <c r="S106" s="5">
        <f>S105-1</f>
        <v>127</v>
      </c>
      <c r="T106" s="5" t="s">
        <v>4673</v>
      </c>
      <c r="U106" s="168">
        <v>4803</v>
      </c>
      <c r="V106" s="99">
        <f t="shared" si="22"/>
        <v>5343.9362301369865</v>
      </c>
      <c r="W106" s="32">
        <f t="shared" si="27"/>
        <v>5450.8149547397261</v>
      </c>
      <c r="X106" s="32">
        <f t="shared" si="28"/>
        <v>5557.6936793424666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152</v>
      </c>
      <c r="AM106" s="117">
        <f t="shared" si="11"/>
        <v>-3887317160</v>
      </c>
      <c r="AN106" s="99"/>
      <c r="AP106" t="s">
        <v>25</v>
      </c>
    </row>
    <row r="107" spans="4:47">
      <c r="M107" t="s">
        <v>25</v>
      </c>
      <c r="Q107" s="35">
        <v>559461</v>
      </c>
      <c r="R107" s="5" t="s">
        <v>4675</v>
      </c>
      <c r="S107" s="5">
        <f>S106-1</f>
        <v>126</v>
      </c>
      <c r="T107" s="5" t="s">
        <v>4682</v>
      </c>
      <c r="U107" s="211">
        <v>508.1</v>
      </c>
      <c r="V107" s="99">
        <f t="shared" si="22"/>
        <v>564.93481315068505</v>
      </c>
      <c r="W107" s="32">
        <f t="shared" si="27"/>
        <v>576.23350941369881</v>
      </c>
      <c r="X107" s="32">
        <f t="shared" si="28"/>
        <v>587.53220567671246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152</v>
      </c>
      <c r="AM107" s="117">
        <f t="shared" si="11"/>
        <v>608000000</v>
      </c>
      <c r="AN107" s="99"/>
    </row>
    <row r="108" spans="4:47">
      <c r="Q108" s="35">
        <v>622942</v>
      </c>
      <c r="R108" s="5" t="s">
        <v>4689</v>
      </c>
      <c r="S108" s="5">
        <f>S107-1</f>
        <v>125</v>
      </c>
      <c r="T108" s="5" t="s">
        <v>4690</v>
      </c>
      <c r="U108" s="211">
        <v>503.3</v>
      </c>
      <c r="V108" s="99">
        <f t="shared" si="22"/>
        <v>559.21180383561648</v>
      </c>
      <c r="W108" s="32">
        <f t="shared" si="27"/>
        <v>570.39603991232877</v>
      </c>
      <c r="X108" s="32">
        <f t="shared" si="28"/>
        <v>581.58027598904118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151</v>
      </c>
      <c r="AM108" s="117">
        <f t="shared" si="11"/>
        <v>-755000000</v>
      </c>
      <c r="AN108" s="99"/>
    </row>
    <row r="109" spans="4:47">
      <c r="K109" s="168" t="s">
        <v>4540</v>
      </c>
      <c r="L109" s="168" t="s">
        <v>4541</v>
      </c>
      <c r="M109" s="168" t="s">
        <v>4435</v>
      </c>
      <c r="N109" s="56" t="s">
        <v>190</v>
      </c>
      <c r="P109" s="114"/>
      <c r="Q109" s="35">
        <v>1472140</v>
      </c>
      <c r="R109" s="5" t="s">
        <v>4695</v>
      </c>
      <c r="S109" s="5">
        <f>S108-3</f>
        <v>122</v>
      </c>
      <c r="T109" s="5" t="s">
        <v>4697</v>
      </c>
      <c r="U109" s="168">
        <v>502</v>
      </c>
      <c r="V109" s="99">
        <f t="shared" si="22"/>
        <v>556.61209863013698</v>
      </c>
      <c r="W109" s="32">
        <f t="shared" si="27"/>
        <v>567.74434060273973</v>
      </c>
      <c r="X109" s="32">
        <f t="shared" si="28"/>
        <v>578.87658257534247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149</v>
      </c>
      <c r="AM109" s="117">
        <f t="shared" si="11"/>
        <v>1490000000</v>
      </c>
      <c r="AN109" s="99"/>
    </row>
    <row r="110" spans="4:47">
      <c r="K110" s="168" t="s">
        <v>4243</v>
      </c>
      <c r="L110" s="169">
        <v>1100000</v>
      </c>
      <c r="M110" s="169">
        <v>1637000</v>
      </c>
      <c r="N110" s="168">
        <f t="shared" ref="N110:N118" si="29">(M110-L110)*100/L110</f>
        <v>48.81818181818182</v>
      </c>
      <c r="Q110" s="35">
        <v>4394591</v>
      </c>
      <c r="R110" s="5" t="s">
        <v>4699</v>
      </c>
      <c r="S110" s="5">
        <f>S109-1</f>
        <v>121</v>
      </c>
      <c r="T110" s="5" t="s">
        <v>4700</v>
      </c>
      <c r="U110" s="168">
        <v>481.7</v>
      </c>
      <c r="V110" s="99">
        <f t="shared" si="22"/>
        <v>533.73415780821927</v>
      </c>
      <c r="W110" s="32">
        <f t="shared" si="27"/>
        <v>544.40884096438367</v>
      </c>
      <c r="X110" s="32">
        <f t="shared" si="28"/>
        <v>555.08352412054808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145</v>
      </c>
      <c r="AM110" s="117">
        <f t="shared" si="11"/>
        <v>-760080865</v>
      </c>
      <c r="AN110" s="99"/>
    </row>
    <row r="111" spans="4:47">
      <c r="F111" s="214"/>
      <c r="G111" s="214"/>
      <c r="H111" s="214"/>
      <c r="I111" s="214"/>
      <c r="J111" s="214" t="s">
        <v>4901</v>
      </c>
      <c r="K111" s="5" t="s">
        <v>4535</v>
      </c>
      <c r="L111" s="169">
        <v>1100000</v>
      </c>
      <c r="M111" s="169">
        <v>4748000</v>
      </c>
      <c r="N111" s="168">
        <f t="shared" si="29"/>
        <v>331.63636363636363</v>
      </c>
      <c r="Q111" s="117">
        <v>5924703</v>
      </c>
      <c r="R111" s="19" t="s">
        <v>4723</v>
      </c>
      <c r="S111" s="19">
        <f>S110-13</f>
        <v>108</v>
      </c>
      <c r="T111" s="19" t="s">
        <v>4804</v>
      </c>
      <c r="U111" s="214">
        <v>489</v>
      </c>
      <c r="V111" s="99">
        <f t="shared" si="22"/>
        <v>536.94611506849321</v>
      </c>
      <c r="W111" s="32">
        <f t="shared" si="27"/>
        <v>547.68503736986304</v>
      </c>
      <c r="X111" s="32">
        <f t="shared" si="28"/>
        <v>558.42395967123298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145</v>
      </c>
      <c r="AM111" s="117">
        <f t="shared" si="11"/>
        <v>3175500000</v>
      </c>
      <c r="AN111" s="99"/>
      <c r="AP111" t="s">
        <v>25</v>
      </c>
      <c r="AU111"/>
    </row>
    <row r="112" spans="4:47">
      <c r="F112" s="214" t="s">
        <v>4363</v>
      </c>
      <c r="G112" s="214" t="s">
        <v>941</v>
      </c>
      <c r="H112" s="214" t="s">
        <v>4540</v>
      </c>
      <c r="I112" s="214" t="s">
        <v>937</v>
      </c>
      <c r="J112" s="214" t="s">
        <v>4771</v>
      </c>
      <c r="K112" s="5" t="s">
        <v>4536</v>
      </c>
      <c r="L112" s="169">
        <v>1100000</v>
      </c>
      <c r="M112" s="169">
        <v>5137000</v>
      </c>
      <c r="N112" s="168">
        <f t="shared" si="29"/>
        <v>367</v>
      </c>
      <c r="Q112" s="117">
        <v>24695044</v>
      </c>
      <c r="R112" s="19" t="s">
        <v>4770</v>
      </c>
      <c r="S112" s="19">
        <f>S111-10</f>
        <v>98</v>
      </c>
      <c r="T112" s="19" t="s">
        <v>4773</v>
      </c>
      <c r="U112" s="214">
        <v>5249.5</v>
      </c>
      <c r="V112" s="99">
        <f t="shared" si="22"/>
        <v>5723.9397424657545</v>
      </c>
      <c r="W112" s="32">
        <f t="shared" si="27"/>
        <v>5838.4185373150694</v>
      </c>
      <c r="X112" s="32">
        <f t="shared" si="28"/>
        <v>5952.8973321643853</v>
      </c>
      <c r="Y112">
        <v>13000</v>
      </c>
      <c r="AH112" s="99">
        <v>92</v>
      </c>
      <c r="AI112" s="113" t="s">
        <v>4588</v>
      </c>
      <c r="AJ112" s="113">
        <v>-15000000</v>
      </c>
      <c r="AK112" s="99">
        <v>0</v>
      </c>
      <c r="AL112" s="99">
        <f t="shared" si="25"/>
        <v>143</v>
      </c>
      <c r="AM112" s="117">
        <f t="shared" si="11"/>
        <v>-2145000000</v>
      </c>
      <c r="AN112" s="99"/>
      <c r="AO112" t="s">
        <v>25</v>
      </c>
    </row>
    <row r="113" spans="6:46">
      <c r="F113" s="1">
        <v>3775.1</v>
      </c>
      <c r="G113" s="1">
        <v>4300</v>
      </c>
      <c r="H113" s="214" t="s">
        <v>4390</v>
      </c>
      <c r="I113" s="214">
        <v>1000</v>
      </c>
      <c r="J113" s="1">
        <f>I113*G113</f>
        <v>4300000</v>
      </c>
      <c r="K113" s="19" t="s">
        <v>4390</v>
      </c>
      <c r="L113" s="169">
        <v>1100000</v>
      </c>
      <c r="M113" s="169">
        <v>4300000</v>
      </c>
      <c r="N113" s="168">
        <f t="shared" si="29"/>
        <v>290.90909090909093</v>
      </c>
      <c r="Q113" s="117">
        <v>5416530</v>
      </c>
      <c r="R113" s="19" t="s">
        <v>4779</v>
      </c>
      <c r="S113" s="19">
        <f>S112-1</f>
        <v>97</v>
      </c>
      <c r="T113" s="19" t="s">
        <v>4837</v>
      </c>
      <c r="U113" s="214">
        <v>5235</v>
      </c>
      <c r="V113" s="99">
        <f t="shared" si="22"/>
        <v>5704.1133698630138</v>
      </c>
      <c r="W113" s="32">
        <f t="shared" si="27"/>
        <v>5818.1956372602745</v>
      </c>
      <c r="X113" s="32">
        <f t="shared" si="28"/>
        <v>5932.2779046575342</v>
      </c>
      <c r="Y113" t="s">
        <v>25</v>
      </c>
      <c r="AH113" s="99">
        <v>93</v>
      </c>
      <c r="AI113" s="113" t="s">
        <v>4588</v>
      </c>
      <c r="AJ113" s="113">
        <v>3000000</v>
      </c>
      <c r="AK113" s="99">
        <v>1</v>
      </c>
      <c r="AL113" s="99">
        <f t="shared" si="25"/>
        <v>143</v>
      </c>
      <c r="AM113" s="117">
        <f t="shared" si="11"/>
        <v>429000000</v>
      </c>
      <c r="AN113" s="99"/>
    </row>
    <row r="114" spans="6:46">
      <c r="F114" s="1">
        <v>6250.1</v>
      </c>
      <c r="G114" s="1">
        <f>P41</f>
        <v>4712.5</v>
      </c>
      <c r="H114" s="214" t="s">
        <v>4902</v>
      </c>
      <c r="I114" s="214">
        <v>1000</v>
      </c>
      <c r="J114" s="1">
        <f>I114*G114+1460000</f>
        <v>6172500</v>
      </c>
      <c r="K114" s="5" t="s">
        <v>4409</v>
      </c>
      <c r="L114" s="169">
        <v>1100000</v>
      </c>
      <c r="M114" s="169">
        <v>3191000</v>
      </c>
      <c r="N114" s="168">
        <f t="shared" si="29"/>
        <v>190.09090909090909</v>
      </c>
      <c r="P114" s="114"/>
      <c r="Q114" s="117">
        <v>153812</v>
      </c>
      <c r="R114" s="19" t="s">
        <v>4810</v>
      </c>
      <c r="S114" s="19">
        <f>S113-6</f>
        <v>91</v>
      </c>
      <c r="T114" s="19" t="s">
        <v>4811</v>
      </c>
      <c r="U114" s="214">
        <v>537.20000000000005</v>
      </c>
      <c r="V114" s="99">
        <f t="shared" si="22"/>
        <v>582.86641534246587</v>
      </c>
      <c r="W114" s="32">
        <f t="shared" si="27"/>
        <v>594.52374364931518</v>
      </c>
      <c r="X114" s="32">
        <f t="shared" si="28"/>
        <v>606.18107195616449</v>
      </c>
      <c r="Y114" t="s">
        <v>25</v>
      </c>
      <c r="AH114" s="99">
        <v>94</v>
      </c>
      <c r="AI114" s="113" t="s">
        <v>4592</v>
      </c>
      <c r="AJ114" s="113">
        <v>-2103736</v>
      </c>
      <c r="AK114" s="99">
        <v>0</v>
      </c>
      <c r="AL114" s="99">
        <f t="shared" si="25"/>
        <v>142</v>
      </c>
      <c r="AM114" s="117">
        <f t="shared" si="11"/>
        <v>-298730512</v>
      </c>
      <c r="AN114" s="99"/>
    </row>
    <row r="115" spans="6:46">
      <c r="F115" s="1">
        <v>183</v>
      </c>
      <c r="G115" s="1">
        <f>P43</f>
        <v>200.4</v>
      </c>
      <c r="H115" s="214" t="s">
        <v>4243</v>
      </c>
      <c r="I115" s="214">
        <v>108344</v>
      </c>
      <c r="J115" s="1">
        <f t="shared" ref="J115:J116" si="30">I115*G115</f>
        <v>21712137.600000001</v>
      </c>
      <c r="K115" s="5" t="s">
        <v>4537</v>
      </c>
      <c r="L115" s="169">
        <v>1100000</v>
      </c>
      <c r="M115" s="169">
        <v>5623000</v>
      </c>
      <c r="N115" s="168">
        <f t="shared" si="29"/>
        <v>411.18181818181819</v>
      </c>
      <c r="Q115" s="117">
        <v>10926171</v>
      </c>
      <c r="R115" s="19" t="s">
        <v>4839</v>
      </c>
      <c r="S115" s="19">
        <f>S114-6</f>
        <v>85</v>
      </c>
      <c r="T115" s="19" t="s">
        <v>4841</v>
      </c>
      <c r="U115" s="214">
        <v>5355.4</v>
      </c>
      <c r="V115" s="99">
        <f t="shared" si="22"/>
        <v>5786.003504657534</v>
      </c>
      <c r="W115" s="32">
        <f t="shared" si="27"/>
        <v>5901.7235747506847</v>
      </c>
      <c r="X115" s="32">
        <f t="shared" si="28"/>
        <v>6017.4436448438355</v>
      </c>
      <c r="AH115" s="99">
        <v>95</v>
      </c>
      <c r="AI115" s="113" t="s">
        <v>4592</v>
      </c>
      <c r="AJ115" s="113">
        <v>220000</v>
      </c>
      <c r="AK115" s="99">
        <v>3</v>
      </c>
      <c r="AL115" s="99">
        <f t="shared" si="25"/>
        <v>142</v>
      </c>
      <c r="AM115" s="117">
        <f t="shared" si="11"/>
        <v>31240000</v>
      </c>
      <c r="AN115" s="99"/>
      <c r="AR115" s="96"/>
      <c r="AS115" s="96"/>
      <c r="AT115"/>
    </row>
    <row r="116" spans="6:46">
      <c r="F116" s="1">
        <v>4485.1000000000004</v>
      </c>
      <c r="G116" s="1">
        <v>5320</v>
      </c>
      <c r="H116" s="214" t="s">
        <v>4537</v>
      </c>
      <c r="I116" s="214">
        <v>3</v>
      </c>
      <c r="J116" s="1">
        <f t="shared" si="30"/>
        <v>15960</v>
      </c>
      <c r="K116" s="19" t="s">
        <v>4394</v>
      </c>
      <c r="L116" s="169">
        <v>1100000</v>
      </c>
      <c r="M116" s="169">
        <v>7728000</v>
      </c>
      <c r="N116" s="168">
        <f t="shared" si="29"/>
        <v>602.5454545454545</v>
      </c>
      <c r="Q116" s="169">
        <v>26970108</v>
      </c>
      <c r="R116" s="214" t="s">
        <v>4904</v>
      </c>
      <c r="S116" s="214">
        <f>S115-28</f>
        <v>57</v>
      </c>
      <c r="T116" s="214" t="s">
        <v>4911</v>
      </c>
      <c r="U116" s="214">
        <v>6110.2</v>
      </c>
      <c r="V116" s="99">
        <f t="shared" si="22"/>
        <v>6470.2498126027394</v>
      </c>
      <c r="W116" s="32">
        <f t="shared" si="27"/>
        <v>6599.6548088547943</v>
      </c>
      <c r="X116" s="32">
        <f t="shared" si="28"/>
        <v>6729.0598051068491</v>
      </c>
      <c r="Y116">
        <v>23000</v>
      </c>
      <c r="AH116" s="99">
        <v>96</v>
      </c>
      <c r="AI116" s="113" t="s">
        <v>4601</v>
      </c>
      <c r="AJ116" s="113">
        <v>4000000</v>
      </c>
      <c r="AK116" s="99">
        <v>1</v>
      </c>
      <c r="AL116" s="99">
        <f t="shared" si="25"/>
        <v>139</v>
      </c>
      <c r="AM116" s="117">
        <f t="shared" si="11"/>
        <v>556000000</v>
      </c>
      <c r="AN116" s="99"/>
    </row>
    <row r="117" spans="6:46">
      <c r="F117" s="214"/>
      <c r="G117" s="214"/>
      <c r="H117" s="214"/>
      <c r="I117" s="214"/>
      <c r="J117" s="1">
        <f>SUM(J113:J116)</f>
        <v>32200597.600000001</v>
      </c>
      <c r="K117" s="5" t="s">
        <v>4539</v>
      </c>
      <c r="L117" s="169">
        <v>1100000</v>
      </c>
      <c r="M117" s="169">
        <v>2904000</v>
      </c>
      <c r="N117" s="168">
        <f t="shared" si="29"/>
        <v>164</v>
      </c>
      <c r="Q117" s="169">
        <v>6150141</v>
      </c>
      <c r="R117" s="214" t="s">
        <v>4904</v>
      </c>
      <c r="S117" s="214">
        <f>S116</f>
        <v>57</v>
      </c>
      <c r="T117" s="214" t="s">
        <v>4912</v>
      </c>
      <c r="U117" s="214">
        <v>180.6</v>
      </c>
      <c r="V117" s="99">
        <f t="shared" si="22"/>
        <v>191.24204054794521</v>
      </c>
      <c r="W117" s="32">
        <f t="shared" si="27"/>
        <v>195.06688135890411</v>
      </c>
      <c r="X117" s="32">
        <f t="shared" si="28"/>
        <v>198.89172216986302</v>
      </c>
      <c r="Y117">
        <v>6000</v>
      </c>
      <c r="AH117" s="99">
        <v>97</v>
      </c>
      <c r="AI117" s="113" t="s">
        <v>4606</v>
      </c>
      <c r="AJ117" s="113">
        <v>-9000000</v>
      </c>
      <c r="AK117" s="99">
        <v>0</v>
      </c>
      <c r="AL117" s="99">
        <f t="shared" si="25"/>
        <v>138</v>
      </c>
      <c r="AM117" s="117">
        <f t="shared" si="11"/>
        <v>-1242000000</v>
      </c>
      <c r="AN117" s="99"/>
      <c r="AP117" t="s">
        <v>25</v>
      </c>
    </row>
    <row r="118" spans="6:46">
      <c r="F118" s="214"/>
      <c r="G118" s="214"/>
      <c r="H118" s="214"/>
      <c r="I118" s="214"/>
      <c r="J118" s="214" t="s">
        <v>6</v>
      </c>
      <c r="K118" s="56" t="s">
        <v>1086</v>
      </c>
      <c r="L118" s="169">
        <v>1100000</v>
      </c>
      <c r="M118" s="169">
        <v>3400000</v>
      </c>
      <c r="N118" s="168">
        <f t="shared" si="29"/>
        <v>209.09090909090909</v>
      </c>
      <c r="Q118" s="169">
        <v>162112</v>
      </c>
      <c r="R118" s="214" t="s">
        <v>4926</v>
      </c>
      <c r="S118" s="214">
        <f>S117-7</f>
        <v>50</v>
      </c>
      <c r="T118" s="214" t="s">
        <v>4928</v>
      </c>
      <c r="U118" s="214">
        <v>632.79999999999995</v>
      </c>
      <c r="V118" s="99">
        <f t="shared" si="22"/>
        <v>666.69034082191786</v>
      </c>
      <c r="W118" s="32">
        <f t="shared" si="27"/>
        <v>680.02414763835623</v>
      </c>
      <c r="X118" s="32">
        <f t="shared" si="28"/>
        <v>693.35795445479459</v>
      </c>
      <c r="AH118" s="99">
        <v>98</v>
      </c>
      <c r="AI118" s="113" t="s">
        <v>4606</v>
      </c>
      <c r="AJ118" s="113">
        <v>13900000</v>
      </c>
      <c r="AK118" s="99">
        <v>2</v>
      </c>
      <c r="AL118" s="99">
        <f t="shared" si="25"/>
        <v>138</v>
      </c>
      <c r="AM118" s="117">
        <f t="shared" si="11"/>
        <v>1918200000</v>
      </c>
      <c r="AN118" s="99"/>
    </row>
    <row r="119" spans="6:46">
      <c r="K119" s="244" t="s">
        <v>4568</v>
      </c>
      <c r="P119" s="114"/>
      <c r="Q119" s="169">
        <v>1399908</v>
      </c>
      <c r="R119" s="214" t="s">
        <v>4981</v>
      </c>
      <c r="S119" s="214">
        <f>S118-13</f>
        <v>37</v>
      </c>
      <c r="T119" s="214" t="s">
        <v>4982</v>
      </c>
      <c r="U119" s="214">
        <v>194</v>
      </c>
      <c r="V119" s="99">
        <f t="shared" si="22"/>
        <v>202.45521095890416</v>
      </c>
      <c r="W119" s="32">
        <f t="shared" si="27"/>
        <v>206.50431517808224</v>
      </c>
      <c r="X119" s="32">
        <f t="shared" si="28"/>
        <v>210.55341939726034</v>
      </c>
      <c r="Y119">
        <v>3300</v>
      </c>
      <c r="AH119" s="99">
        <v>99</v>
      </c>
      <c r="AI119" s="113" t="s">
        <v>4615</v>
      </c>
      <c r="AJ119" s="113">
        <v>-8127577</v>
      </c>
      <c r="AK119" s="99">
        <v>1</v>
      </c>
      <c r="AL119" s="99">
        <f t="shared" si="25"/>
        <v>136</v>
      </c>
      <c r="AM119" s="117">
        <f t="shared" si="11"/>
        <v>-1105350472</v>
      </c>
      <c r="AN119" s="99"/>
      <c r="AO119" t="s">
        <v>25</v>
      </c>
      <c r="AQ119" t="s">
        <v>25</v>
      </c>
    </row>
    <row r="120" spans="6:46">
      <c r="K120" s="244" t="s">
        <v>4569</v>
      </c>
      <c r="Q120" s="169">
        <v>1204033</v>
      </c>
      <c r="R120" s="214" t="s">
        <v>4991</v>
      </c>
      <c r="S120" s="214">
        <f>S119-7</f>
        <v>30</v>
      </c>
      <c r="T120" s="214" t="s">
        <v>4994</v>
      </c>
      <c r="U120" s="214">
        <v>218.5</v>
      </c>
      <c r="V120" s="99">
        <f t="shared" si="22"/>
        <v>226.84969315068497</v>
      </c>
      <c r="W120" s="32">
        <f t="shared" si="27"/>
        <v>231.38668701369866</v>
      </c>
      <c r="X120" s="32">
        <f t="shared" si="28"/>
        <v>235.92368087671238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135</v>
      </c>
      <c r="AM120" s="117">
        <f t="shared" si="11"/>
        <v>2131994115</v>
      </c>
      <c r="AN120" s="99"/>
      <c r="AO120" t="s">
        <v>25</v>
      </c>
      <c r="AP120" t="s">
        <v>25</v>
      </c>
    </row>
    <row r="121" spans="6:46">
      <c r="K121" s="244" t="s">
        <v>4570</v>
      </c>
      <c r="Q121" s="169">
        <v>8382674</v>
      </c>
      <c r="R121" s="214" t="s">
        <v>5002</v>
      </c>
      <c r="S121" s="214">
        <f>S120-7</f>
        <v>23</v>
      </c>
      <c r="T121" s="214" t="s">
        <v>5008</v>
      </c>
      <c r="U121" s="214">
        <v>192</v>
      </c>
      <c r="V121" s="99">
        <f t="shared" si="22"/>
        <v>198.30601643835618</v>
      </c>
      <c r="W121" s="32">
        <f t="shared" si="27"/>
        <v>202.2721367671233</v>
      </c>
      <c r="X121" s="32">
        <f t="shared" si="28"/>
        <v>206.23825709589045</v>
      </c>
      <c r="AH121" s="99">
        <v>101</v>
      </c>
      <c r="AI121" s="113" t="s">
        <v>4620</v>
      </c>
      <c r="AJ121" s="113">
        <v>8800000</v>
      </c>
      <c r="AK121" s="99">
        <v>0</v>
      </c>
      <c r="AL121" s="99">
        <f t="shared" ref="AL121:AL125" si="31">AL122+AK121</f>
        <v>132</v>
      </c>
      <c r="AM121" s="117">
        <f t="shared" ref="AM121:AM144" si="32">AJ121*AL121</f>
        <v>1161600000</v>
      </c>
      <c r="AN121" s="99"/>
      <c r="AP121" t="s">
        <v>25</v>
      </c>
    </row>
    <row r="122" spans="6:46" ht="45">
      <c r="Q122" s="169">
        <v>190884649</v>
      </c>
      <c r="R122" s="214" t="s">
        <v>5027</v>
      </c>
      <c r="S122" s="214">
        <f>S121-9</f>
        <v>14</v>
      </c>
      <c r="T122" s="214" t="s">
        <v>5030</v>
      </c>
      <c r="U122" s="214">
        <v>193.6</v>
      </c>
      <c r="V122" s="99">
        <f t="shared" si="22"/>
        <v>198.62193095890413</v>
      </c>
      <c r="W122" s="32">
        <f t="shared" si="27"/>
        <v>202.59436957808222</v>
      </c>
      <c r="X122" s="32">
        <f t="shared" si="28"/>
        <v>206.56680819726031</v>
      </c>
      <c r="Y122" t="s">
        <v>25</v>
      </c>
      <c r="AH122" s="121">
        <v>102</v>
      </c>
      <c r="AI122" s="79" t="s">
        <v>4620</v>
      </c>
      <c r="AJ122" s="79">
        <v>13071612</v>
      </c>
      <c r="AK122" s="121">
        <v>1</v>
      </c>
      <c r="AL122" s="121">
        <f t="shared" si="31"/>
        <v>132</v>
      </c>
      <c r="AM122" s="79">
        <f t="shared" si="32"/>
        <v>1725452784</v>
      </c>
      <c r="AN122" s="206" t="s">
        <v>4621</v>
      </c>
    </row>
    <row r="123" spans="6:46">
      <c r="J123" t="s">
        <v>25</v>
      </c>
      <c r="Q123" s="169">
        <v>2099962</v>
      </c>
      <c r="R123" s="214" t="s">
        <v>5029</v>
      </c>
      <c r="S123" s="214">
        <f>S122-1</f>
        <v>13</v>
      </c>
      <c r="T123" s="214" t="s">
        <v>5036</v>
      </c>
      <c r="U123" s="214">
        <v>196.5</v>
      </c>
      <c r="V123" s="99">
        <f t="shared" si="22"/>
        <v>201.44641643835618</v>
      </c>
      <c r="W123" s="32">
        <f t="shared" si="27"/>
        <v>205.47534476712332</v>
      </c>
      <c r="X123" s="32">
        <f t="shared" si="28"/>
        <v>209.50427309589043</v>
      </c>
      <c r="Y123" t="s">
        <v>25</v>
      </c>
      <c r="AH123" s="89">
        <v>103</v>
      </c>
      <c r="AI123" s="90" t="s">
        <v>4624</v>
      </c>
      <c r="AJ123" s="90">
        <v>16727037</v>
      </c>
      <c r="AK123" s="89">
        <v>0</v>
      </c>
      <c r="AL123" s="89">
        <f t="shared" si="31"/>
        <v>131</v>
      </c>
      <c r="AM123" s="90">
        <f t="shared" si="32"/>
        <v>2191241847</v>
      </c>
      <c r="AN123" s="89" t="s">
        <v>4632</v>
      </c>
    </row>
    <row r="124" spans="6:46">
      <c r="Q124" s="169">
        <v>130756</v>
      </c>
      <c r="R124" s="214" t="s">
        <v>5037</v>
      </c>
      <c r="S124" s="214">
        <f>S123-1</f>
        <v>12</v>
      </c>
      <c r="T124" s="214" t="s">
        <v>5039</v>
      </c>
      <c r="U124" s="214">
        <v>197.8</v>
      </c>
      <c r="V124" s="99">
        <f t="shared" si="22"/>
        <v>202.62740383561649</v>
      </c>
      <c r="W124" s="32">
        <f t="shared" si="27"/>
        <v>206.67995191232882</v>
      </c>
      <c r="X124" s="32">
        <f t="shared" si="28"/>
        <v>210.73249998904114</v>
      </c>
      <c r="Y124" s="122" t="s">
        <v>25</v>
      </c>
      <c r="AH124" s="99">
        <v>104</v>
      </c>
      <c r="AI124" s="113" t="s">
        <v>4624</v>
      </c>
      <c r="AJ124" s="113">
        <v>12000000</v>
      </c>
      <c r="AK124" s="99">
        <v>1</v>
      </c>
      <c r="AL124" s="99">
        <f t="shared" si="31"/>
        <v>131</v>
      </c>
      <c r="AM124" s="117">
        <f t="shared" si="32"/>
        <v>1572000000</v>
      </c>
      <c r="AN124" s="99" t="s">
        <v>4633</v>
      </c>
    </row>
    <row r="125" spans="6:46">
      <c r="Q125" s="169">
        <v>795874</v>
      </c>
      <c r="R125" s="214" t="s">
        <v>5053</v>
      </c>
      <c r="S125" s="214">
        <f>S124-6</f>
        <v>6</v>
      </c>
      <c r="T125" s="214" t="s">
        <v>5054</v>
      </c>
      <c r="U125" s="214">
        <v>198.1</v>
      </c>
      <c r="V125" s="99">
        <f t="shared" si="22"/>
        <v>202.02292273972603</v>
      </c>
      <c r="W125" s="32">
        <f t="shared" si="27"/>
        <v>206.06338119452056</v>
      </c>
      <c r="X125" s="32">
        <f t="shared" si="28"/>
        <v>210.10383964931506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1"/>
        <v>130</v>
      </c>
      <c r="AM125" s="90">
        <f t="shared" si="32"/>
        <v>11530696710</v>
      </c>
      <c r="AN125" s="89" t="s">
        <v>4634</v>
      </c>
      <c r="AP125" t="s">
        <v>25</v>
      </c>
    </row>
    <row r="126" spans="6:46">
      <c r="Q126" s="169">
        <v>400348</v>
      </c>
      <c r="R126" s="214" t="s">
        <v>5056</v>
      </c>
      <c r="S126" s="214">
        <f>S125-1</f>
        <v>5</v>
      </c>
      <c r="T126" s="214" t="s">
        <v>5059</v>
      </c>
      <c r="U126" s="214">
        <v>199.3</v>
      </c>
      <c r="V126" s="99">
        <f t="shared" si="22"/>
        <v>203.09379835616443</v>
      </c>
      <c r="W126" s="32">
        <f t="shared" si="27"/>
        <v>207.15567432328771</v>
      </c>
      <c r="X126" s="32">
        <f t="shared" si="28"/>
        <v>211.217550290411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129</v>
      </c>
      <c r="AM126" s="117">
        <f t="shared" si="32"/>
        <v>13029000</v>
      </c>
      <c r="AN126" s="99"/>
      <c r="AQ126" t="s">
        <v>25</v>
      </c>
    </row>
    <row r="127" spans="6:46">
      <c r="M127">
        <v>236</v>
      </c>
      <c r="N127">
        <v>3</v>
      </c>
      <c r="Q127" s="169">
        <v>5896463</v>
      </c>
      <c r="R127" s="214" t="s">
        <v>5070</v>
      </c>
      <c r="S127" s="214">
        <f>S126-4</f>
        <v>1</v>
      </c>
      <c r="T127" s="214" t="s">
        <v>5071</v>
      </c>
      <c r="U127" s="214">
        <v>197.4</v>
      </c>
      <c r="V127" s="99">
        <f t="shared" si="22"/>
        <v>200.55191013698632</v>
      </c>
      <c r="W127" s="32">
        <f t="shared" si="27"/>
        <v>204.56294833972606</v>
      </c>
      <c r="X127" s="32">
        <f t="shared" si="28"/>
        <v>208.57398654246578</v>
      </c>
      <c r="AH127" s="149">
        <v>107</v>
      </c>
      <c r="AI127" s="189" t="s">
        <v>4631</v>
      </c>
      <c r="AJ127" s="189">
        <v>-48200</v>
      </c>
      <c r="AK127" s="149">
        <v>0</v>
      </c>
      <c r="AL127" s="149">
        <f t="shared" ref="AL127:AL179" si="33">AL128+AK127</f>
        <v>129</v>
      </c>
      <c r="AM127" s="189">
        <f t="shared" si="32"/>
        <v>-6217800</v>
      </c>
      <c r="AN127" s="149" t="s">
        <v>4641</v>
      </c>
    </row>
    <row r="128" spans="6:46">
      <c r="M128">
        <v>126</v>
      </c>
      <c r="N128">
        <v>1</v>
      </c>
      <c r="O128">
        <f>M127*N127</f>
        <v>708</v>
      </c>
      <c r="Q128" s="169"/>
      <c r="R128" s="168"/>
      <c r="S128" s="168"/>
      <c r="T128" s="168"/>
      <c r="U128" s="168"/>
      <c r="V128" s="99">
        <f t="shared" si="22"/>
        <v>0</v>
      </c>
      <c r="W128" s="32">
        <f t="shared" si="27"/>
        <v>0</v>
      </c>
      <c r="X128" s="32">
        <f t="shared" si="28"/>
        <v>0</v>
      </c>
      <c r="AH128" s="89">
        <v>108</v>
      </c>
      <c r="AI128" s="90" t="s">
        <v>4631</v>
      </c>
      <c r="AJ128" s="90">
        <v>39327293</v>
      </c>
      <c r="AK128" s="89">
        <v>4</v>
      </c>
      <c r="AL128" s="149">
        <f t="shared" si="33"/>
        <v>129</v>
      </c>
      <c r="AM128" s="189">
        <f t="shared" si="32"/>
        <v>5073220797</v>
      </c>
      <c r="AN128" s="89" t="s">
        <v>4642</v>
      </c>
    </row>
    <row r="129" spans="6:43">
      <c r="L129">
        <v>821</v>
      </c>
      <c r="M129">
        <v>590</v>
      </c>
      <c r="N129">
        <v>0</v>
      </c>
      <c r="O129">
        <f>M128*N128</f>
        <v>126</v>
      </c>
      <c r="Q129" s="113">
        <f>SUM(N40:N44)-SUM(Q81:Q128)</f>
        <v>23582482</v>
      </c>
      <c r="R129" s="112"/>
      <c r="S129" s="112"/>
      <c r="T129" s="112"/>
      <c r="U129" s="168"/>
      <c r="V129" s="99" t="s">
        <v>25</v>
      </c>
      <c r="W129" s="32"/>
      <c r="X129" s="32"/>
      <c r="Y129" t="s">
        <v>25</v>
      </c>
      <c r="AH129" s="89">
        <v>109</v>
      </c>
      <c r="AI129" s="90" t="s">
        <v>4657</v>
      </c>
      <c r="AJ129" s="90">
        <v>8749050</v>
      </c>
      <c r="AK129" s="89">
        <v>1</v>
      </c>
      <c r="AL129" s="89">
        <f t="shared" si="33"/>
        <v>125</v>
      </c>
      <c r="AM129" s="90">
        <f t="shared" si="32"/>
        <v>1093631250</v>
      </c>
      <c r="AN129" s="89" t="s">
        <v>4660</v>
      </c>
    </row>
    <row r="130" spans="6:43">
      <c r="O130" s="96">
        <f>M129*N129</f>
        <v>0</v>
      </c>
      <c r="Q130" s="26"/>
      <c r="R130" s="181"/>
      <c r="S130" s="181"/>
      <c r="T130" t="s">
        <v>25</v>
      </c>
      <c r="U130" s="96" t="s">
        <v>25</v>
      </c>
      <c r="V130" s="96" t="s">
        <v>25</v>
      </c>
      <c r="W130" s="96" t="s">
        <v>25</v>
      </c>
      <c r="Z130" t="s">
        <v>25</v>
      </c>
      <c r="AH130" s="99">
        <v>110</v>
      </c>
      <c r="AI130" s="113" t="s">
        <v>4662</v>
      </c>
      <c r="AJ130" s="113">
        <v>60000</v>
      </c>
      <c r="AK130" s="99">
        <v>1</v>
      </c>
      <c r="AL130" s="99">
        <f t="shared" si="33"/>
        <v>124</v>
      </c>
      <c r="AM130" s="117">
        <f t="shared" si="32"/>
        <v>7440000</v>
      </c>
      <c r="AN130" s="99" t="s">
        <v>4663</v>
      </c>
    </row>
    <row r="131" spans="6:43">
      <c r="R131" s="32" t="s">
        <v>4572</v>
      </c>
      <c r="S131" s="32" t="s">
        <v>950</v>
      </c>
      <c r="T131" t="s">
        <v>25</v>
      </c>
      <c r="U131" s="96" t="s">
        <v>25</v>
      </c>
      <c r="V131" s="96" t="s">
        <v>25</v>
      </c>
      <c r="W131" s="96" t="s">
        <v>25</v>
      </c>
      <c r="X131" s="122" t="s">
        <v>25</v>
      </c>
      <c r="Y131" t="s">
        <v>25</v>
      </c>
      <c r="AH131" s="20">
        <v>111</v>
      </c>
      <c r="AI131" s="117" t="s">
        <v>4672</v>
      </c>
      <c r="AJ131" s="117">
        <v>4750000</v>
      </c>
      <c r="AK131" s="20">
        <v>0</v>
      </c>
      <c r="AL131" s="99">
        <f t="shared" si="33"/>
        <v>123</v>
      </c>
      <c r="AM131" s="117">
        <f t="shared" si="32"/>
        <v>584250000</v>
      </c>
      <c r="AN131" s="20"/>
      <c r="AQ131" t="s">
        <v>25</v>
      </c>
    </row>
    <row r="132" spans="6:43">
      <c r="O132">
        <f>O128+O129+O130</f>
        <v>834</v>
      </c>
      <c r="R132" s="32">
        <v>2480</v>
      </c>
      <c r="S132" s="235">
        <v>13041741</v>
      </c>
      <c r="U132" s="96" t="s">
        <v>25</v>
      </c>
      <c r="V132" s="122" t="s">
        <v>25</v>
      </c>
      <c r="W132" s="96" t="s">
        <v>25</v>
      </c>
      <c r="X132" t="s">
        <v>25</v>
      </c>
      <c r="AH132" s="89">
        <v>112</v>
      </c>
      <c r="AI132" s="90" t="s">
        <v>4672</v>
      </c>
      <c r="AJ132" s="90">
        <v>13101160</v>
      </c>
      <c r="AK132" s="89">
        <v>1</v>
      </c>
      <c r="AL132" s="89">
        <f t="shared" si="33"/>
        <v>123</v>
      </c>
      <c r="AM132" s="90">
        <f t="shared" si="32"/>
        <v>1611442680</v>
      </c>
      <c r="AN132" s="89" t="s">
        <v>4676</v>
      </c>
    </row>
    <row r="133" spans="6:43">
      <c r="Q133" t="s">
        <v>25</v>
      </c>
      <c r="R133" s="32">
        <v>1450</v>
      </c>
      <c r="S133" s="1">
        <f>S132*R133/R132</f>
        <v>7625211.4717741935</v>
      </c>
      <c r="U133" s="96" t="s">
        <v>25</v>
      </c>
      <c r="V133" s="122" t="s">
        <v>25</v>
      </c>
      <c r="W133" s="96" t="s">
        <v>25</v>
      </c>
      <c r="X133" t="s">
        <v>25</v>
      </c>
      <c r="AH133" s="20">
        <v>113</v>
      </c>
      <c r="AI133" s="117" t="s">
        <v>4675</v>
      </c>
      <c r="AJ133" s="117">
        <v>-980000</v>
      </c>
      <c r="AK133" s="20">
        <v>0</v>
      </c>
      <c r="AL133" s="99">
        <f t="shared" si="33"/>
        <v>122</v>
      </c>
      <c r="AM133" s="117">
        <f t="shared" si="32"/>
        <v>-119560000</v>
      </c>
      <c r="AN133" s="20"/>
    </row>
    <row r="134" spans="6:43">
      <c r="R134" s="32">
        <f>R132-R133</f>
        <v>1030</v>
      </c>
      <c r="S134" s="1">
        <f>R134*S132/R132</f>
        <v>5416529.5282258065</v>
      </c>
      <c r="U134" s="122" t="s">
        <v>25</v>
      </c>
      <c r="V134" s="96"/>
      <c r="W134"/>
      <c r="X134" t="s">
        <v>25</v>
      </c>
      <c r="AH134" s="89">
        <v>114</v>
      </c>
      <c r="AI134" s="90" t="s">
        <v>4675</v>
      </c>
      <c r="AJ134" s="90">
        <v>13301790</v>
      </c>
      <c r="AK134" s="89">
        <v>0</v>
      </c>
      <c r="AL134" s="89">
        <f t="shared" si="33"/>
        <v>122</v>
      </c>
      <c r="AM134" s="90">
        <f t="shared" si="32"/>
        <v>1622818380</v>
      </c>
      <c r="AN134" s="89" t="s">
        <v>4676</v>
      </c>
      <c r="AQ134" t="s">
        <v>25</v>
      </c>
    </row>
    <row r="135" spans="6:43">
      <c r="V135" s="96"/>
      <c r="W135"/>
      <c r="X135" t="s">
        <v>25</v>
      </c>
      <c r="AH135" s="20">
        <v>115</v>
      </c>
      <c r="AI135" s="117" t="s">
        <v>4675</v>
      </c>
      <c r="AJ135" s="117">
        <v>404000</v>
      </c>
      <c r="AK135" s="20">
        <v>5</v>
      </c>
      <c r="AL135" s="99">
        <f t="shared" si="33"/>
        <v>122</v>
      </c>
      <c r="AM135" s="117">
        <f t="shared" si="32"/>
        <v>49288000</v>
      </c>
      <c r="AN135" s="20" t="s">
        <v>4683</v>
      </c>
    </row>
    <row r="136" spans="6:43">
      <c r="Q136" s="99" t="s">
        <v>4462</v>
      </c>
      <c r="R136" s="99" t="s">
        <v>4464</v>
      </c>
      <c r="S136" s="99"/>
      <c r="T136" s="99" t="s">
        <v>4465</v>
      </c>
      <c r="U136" s="99"/>
      <c r="V136" s="99"/>
      <c r="W136" s="99" t="s">
        <v>4575</v>
      </c>
      <c r="AH136" s="89">
        <v>116</v>
      </c>
      <c r="AI136" s="90" t="s">
        <v>4699</v>
      </c>
      <c r="AJ136" s="90">
        <v>4291628</v>
      </c>
      <c r="AK136" s="89">
        <v>2</v>
      </c>
      <c r="AL136" s="89">
        <f t="shared" si="33"/>
        <v>117</v>
      </c>
      <c r="AM136" s="90">
        <f t="shared" si="32"/>
        <v>502120476</v>
      </c>
      <c r="AN136" s="89" t="s">
        <v>4701</v>
      </c>
    </row>
    <row r="137" spans="6:43">
      <c r="P137" s="114"/>
      <c r="Q137" s="113">
        <v>1000</v>
      </c>
      <c r="R137" s="99">
        <v>0.25</v>
      </c>
      <c r="S137" s="99"/>
      <c r="T137" s="99">
        <f>1-R137</f>
        <v>0.75</v>
      </c>
      <c r="U137" s="99"/>
      <c r="V137" s="99"/>
      <c r="W137" s="99"/>
      <c r="Z137" t="s">
        <v>25</v>
      </c>
      <c r="AH137" s="20">
        <v>117</v>
      </c>
      <c r="AI137" s="117" t="s">
        <v>4703</v>
      </c>
      <c r="AJ137" s="117">
        <v>1000</v>
      </c>
      <c r="AK137" s="20">
        <v>5</v>
      </c>
      <c r="AL137" s="20">
        <f t="shared" si="33"/>
        <v>115</v>
      </c>
      <c r="AM137" s="117">
        <f t="shared" si="32"/>
        <v>115000</v>
      </c>
      <c r="AN137" s="20"/>
    </row>
    <row r="138" spans="6:43">
      <c r="P138">
        <f>R140+187</f>
        <v>1716215</v>
      </c>
      <c r="Q138" s="168" t="s">
        <v>4449</v>
      </c>
      <c r="R138" s="168" t="s">
        <v>4467</v>
      </c>
      <c r="S138" s="168" t="s">
        <v>4469</v>
      </c>
      <c r="T138" s="168"/>
      <c r="U138" s="168" t="s">
        <v>4463</v>
      </c>
      <c r="V138" s="56" t="s">
        <v>4466</v>
      </c>
      <c r="W138" s="99"/>
      <c r="X138" s="115"/>
      <c r="AH138" s="121">
        <v>118</v>
      </c>
      <c r="AI138" s="79" t="s">
        <v>4711</v>
      </c>
      <c r="AJ138" s="79">
        <v>8739459</v>
      </c>
      <c r="AK138" s="121">
        <v>2</v>
      </c>
      <c r="AL138" s="121">
        <f t="shared" si="33"/>
        <v>110</v>
      </c>
      <c r="AM138" s="79">
        <f t="shared" si="32"/>
        <v>961340490</v>
      </c>
      <c r="AN138" s="121" t="s">
        <v>4660</v>
      </c>
    </row>
    <row r="139" spans="6:43">
      <c r="F139" t="s">
        <v>4845</v>
      </c>
      <c r="G139">
        <v>1200</v>
      </c>
      <c r="H139" t="s">
        <v>4846</v>
      </c>
      <c r="Q139" s="168" t="s">
        <v>751</v>
      </c>
      <c r="R139" s="56">
        <v>1716161</v>
      </c>
      <c r="S139" s="113">
        <f>R139*$T$232</f>
        <v>560575129.44928527</v>
      </c>
      <c r="T139" s="168"/>
      <c r="U139" s="168">
        <f>$Q$137*$T$137*S139/$R$163</f>
        <v>358.58369385675883</v>
      </c>
      <c r="V139" s="95">
        <f>S139+U139</f>
        <v>560575488.03297913</v>
      </c>
      <c r="W139" s="99">
        <f>R139*100/U229</f>
        <v>47.811159180901178</v>
      </c>
      <c r="X139" s="218"/>
      <c r="AH139" s="121">
        <v>119</v>
      </c>
      <c r="AI139" s="79" t="s">
        <v>4712</v>
      </c>
      <c r="AJ139" s="79">
        <v>17595278</v>
      </c>
      <c r="AK139" s="121">
        <v>1</v>
      </c>
      <c r="AL139" s="121">
        <f t="shared" si="33"/>
        <v>108</v>
      </c>
      <c r="AM139" s="79">
        <f t="shared" si="32"/>
        <v>1900290024</v>
      </c>
      <c r="AN139" s="121" t="s">
        <v>4715</v>
      </c>
      <c r="AQ139" t="s">
        <v>25</v>
      </c>
    </row>
    <row r="140" spans="6:43">
      <c r="G140">
        <v>1350</v>
      </c>
      <c r="H140" t="s">
        <v>4847</v>
      </c>
      <c r="Q140" s="168" t="s">
        <v>4451</v>
      </c>
      <c r="R140" s="56">
        <v>1716028</v>
      </c>
      <c r="S140" s="113">
        <f>R140*$T$232</f>
        <v>560531685.68601549</v>
      </c>
      <c r="T140" s="168"/>
      <c r="U140" s="214">
        <f>$Q$137*$T$137*S140/$R$163</f>
        <v>358.55590413814673</v>
      </c>
      <c r="V140" s="95">
        <f t="shared" ref="V140:V141" si="34">S140+U140</f>
        <v>560532044.24191964</v>
      </c>
      <c r="W140" s="99">
        <f>R140*100/U229</f>
        <v>47.80745388508624</v>
      </c>
      <c r="X140" s="115"/>
      <c r="AH140" s="121">
        <v>120</v>
      </c>
      <c r="AI140" s="79" t="s">
        <v>4714</v>
      </c>
      <c r="AJ140" s="79">
        <v>13335309</v>
      </c>
      <c r="AK140" s="121">
        <v>13</v>
      </c>
      <c r="AL140" s="121">
        <f t="shared" si="33"/>
        <v>107</v>
      </c>
      <c r="AM140" s="79">
        <f t="shared" si="32"/>
        <v>1426878063</v>
      </c>
      <c r="AN140" s="121" t="s">
        <v>4676</v>
      </c>
    </row>
    <row r="141" spans="6:43">
      <c r="G141">
        <v>1050</v>
      </c>
      <c r="H141" t="s">
        <v>4848</v>
      </c>
      <c r="Q141" s="168" t="s">
        <v>4450</v>
      </c>
      <c r="R141" s="56">
        <v>53811</v>
      </c>
      <c r="S141" s="113">
        <f>R141*$T$232</f>
        <v>17577085.303066257</v>
      </c>
      <c r="T141" s="168"/>
      <c r="U141" s="214">
        <f>$Q$137*$T$137*S141/$R$163</f>
        <v>11.24355299422726</v>
      </c>
      <c r="V141" s="95">
        <f t="shared" si="34"/>
        <v>17577096.546619251</v>
      </c>
      <c r="W141" s="99">
        <f>R141*100/U229</f>
        <v>1.4991403992303014</v>
      </c>
      <c r="X141" s="115"/>
      <c r="Y141" t="s">
        <v>25</v>
      </c>
      <c r="AA141" t="s">
        <v>25</v>
      </c>
      <c r="AH141" s="161">
        <v>121</v>
      </c>
      <c r="AI141" s="229" t="s">
        <v>4770</v>
      </c>
      <c r="AJ141" s="229">
        <v>50000000</v>
      </c>
      <c r="AK141" s="161">
        <v>11</v>
      </c>
      <c r="AL141" s="161">
        <f t="shared" si="33"/>
        <v>94</v>
      </c>
      <c r="AM141" s="229">
        <f t="shared" si="32"/>
        <v>4700000000</v>
      </c>
      <c r="AN141" s="161" t="s">
        <v>4772</v>
      </c>
      <c r="AP141" t="s">
        <v>25</v>
      </c>
    </row>
    <row r="142" spans="6:43">
      <c r="P142" s="114"/>
      <c r="Q142" s="168" t="s">
        <v>1087</v>
      </c>
      <c r="R142" s="56">
        <v>103457</v>
      </c>
      <c r="S142" s="113">
        <f>R142*$T$232</f>
        <v>33793694.861632861</v>
      </c>
      <c r="T142" s="168"/>
      <c r="U142" s="214">
        <f>$Q$137*$T$137*S142/$R$163</f>
        <v>21.616849010867107</v>
      </c>
      <c r="V142" s="95">
        <f>S142+U142</f>
        <v>33793716.478481874</v>
      </c>
      <c r="W142" s="99">
        <f>R142*100/U229</f>
        <v>2.8822465347822805</v>
      </c>
      <c r="X142" s="115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3"/>
        <v>83</v>
      </c>
      <c r="AM142" s="117">
        <f t="shared" si="32"/>
        <v>2490000</v>
      </c>
      <c r="AN142" s="20"/>
    </row>
    <row r="143" spans="6:43">
      <c r="Q143" s="168"/>
      <c r="R143" s="56"/>
      <c r="S143" s="168"/>
      <c r="T143" s="168"/>
      <c r="U143" s="168"/>
      <c r="V143" s="168"/>
      <c r="W143" s="99"/>
      <c r="X143" s="96"/>
      <c r="Y143" t="s">
        <v>25</v>
      </c>
      <c r="AH143" s="20">
        <v>123</v>
      </c>
      <c r="AI143" s="117" t="s">
        <v>4842</v>
      </c>
      <c r="AJ143" s="117">
        <v>600000</v>
      </c>
      <c r="AK143" s="20">
        <v>1</v>
      </c>
      <c r="AL143" s="20">
        <f t="shared" si="33"/>
        <v>80</v>
      </c>
      <c r="AM143" s="117">
        <f t="shared" si="32"/>
        <v>48000000</v>
      </c>
      <c r="AN143" s="20"/>
    </row>
    <row r="144" spans="6:43">
      <c r="Q144" s="168"/>
      <c r="R144" s="168"/>
      <c r="S144" s="168"/>
      <c r="T144" s="168"/>
      <c r="U144" s="168"/>
      <c r="V144" s="168"/>
      <c r="W144" s="99"/>
      <c r="X144" s="96"/>
      <c r="Y144" t="s">
        <v>25</v>
      </c>
      <c r="AH144" s="20">
        <v>124</v>
      </c>
      <c r="AI144" s="117" t="s">
        <v>4849</v>
      </c>
      <c r="AJ144" s="117">
        <v>30000</v>
      </c>
      <c r="AK144" s="20">
        <v>3</v>
      </c>
      <c r="AL144" s="20">
        <f t="shared" si="33"/>
        <v>79</v>
      </c>
      <c r="AM144" s="117">
        <f t="shared" si="32"/>
        <v>2370000</v>
      </c>
      <c r="AN144" s="20"/>
    </row>
    <row r="145" spans="15:44">
      <c r="Q145" s="99"/>
      <c r="R145" s="99"/>
      <c r="S145" s="99"/>
      <c r="T145" s="99" t="s">
        <v>25</v>
      </c>
      <c r="U145" s="99"/>
      <c r="V145" s="99"/>
      <c r="W145" s="99"/>
      <c r="X145" s="96"/>
      <c r="AH145" s="20">
        <v>125</v>
      </c>
      <c r="AI145" s="117" t="s">
        <v>4856</v>
      </c>
      <c r="AJ145" s="117">
        <v>2250000</v>
      </c>
      <c r="AK145" s="20">
        <v>1</v>
      </c>
      <c r="AL145" s="20">
        <f t="shared" si="33"/>
        <v>76</v>
      </c>
      <c r="AM145" s="117">
        <f t="shared" ref="AM145:AM147" si="35">AJ145*AL145</f>
        <v>171000000</v>
      </c>
      <c r="AN145" s="20"/>
      <c r="AR145" t="s">
        <v>25</v>
      </c>
    </row>
    <row r="146" spans="15:44">
      <c r="Q146" s="99"/>
      <c r="R146" s="99"/>
      <c r="S146" s="99"/>
      <c r="T146" s="99"/>
      <c r="U146" s="99"/>
      <c r="V146" s="99"/>
      <c r="W146" s="99"/>
      <c r="X146" s="96"/>
      <c r="AH146" s="23">
        <v>126</v>
      </c>
      <c r="AI146" s="35" t="s">
        <v>4861</v>
      </c>
      <c r="AJ146" s="35">
        <v>-31412200</v>
      </c>
      <c r="AK146" s="23">
        <v>1</v>
      </c>
      <c r="AL146" s="20">
        <f t="shared" si="33"/>
        <v>75</v>
      </c>
      <c r="AM146" s="35">
        <f t="shared" si="35"/>
        <v>-2355915000</v>
      </c>
      <c r="AN146" s="23" t="s">
        <v>4844</v>
      </c>
    </row>
    <row r="147" spans="15:44">
      <c r="Q147" s="99"/>
      <c r="R147" s="99"/>
      <c r="S147" s="99"/>
      <c r="T147" s="99"/>
      <c r="U147" s="99"/>
      <c r="V147" s="99"/>
      <c r="W147" s="99"/>
      <c r="X147" s="96"/>
      <c r="Z147" s="96"/>
      <c r="AH147" s="20">
        <v>127</v>
      </c>
      <c r="AI147" s="117" t="s">
        <v>4870</v>
      </c>
      <c r="AJ147" s="117">
        <v>70000</v>
      </c>
      <c r="AK147" s="20">
        <v>9</v>
      </c>
      <c r="AL147" s="20">
        <f t="shared" si="33"/>
        <v>74</v>
      </c>
      <c r="AM147" s="117">
        <f t="shared" si="35"/>
        <v>5180000</v>
      </c>
      <c r="AN147" s="20"/>
    </row>
    <row r="148" spans="15:44">
      <c r="Q148" s="96"/>
      <c r="R148" s="96"/>
      <c r="S148" s="96"/>
      <c r="T148" s="96"/>
      <c r="V148" s="96"/>
      <c r="X148" s="115"/>
      <c r="Z148" s="96"/>
      <c r="AH148" s="99">
        <v>128</v>
      </c>
      <c r="AI148" s="113" t="s">
        <v>4879</v>
      </c>
      <c r="AJ148" s="113">
        <v>20000</v>
      </c>
      <c r="AK148" s="99">
        <v>10</v>
      </c>
      <c r="AL148" s="20">
        <f t="shared" si="33"/>
        <v>65</v>
      </c>
      <c r="AM148" s="117">
        <f t="shared" ref="AM148:AM149" si="36">AJ148*AL148</f>
        <v>1300000</v>
      </c>
      <c r="AN148" s="20"/>
      <c r="AP148" t="s">
        <v>25</v>
      </c>
    </row>
    <row r="149" spans="15:44">
      <c r="Q149" s="96"/>
      <c r="R149" s="96"/>
      <c r="S149" s="96"/>
      <c r="T149" s="96"/>
      <c r="V149" s="96"/>
      <c r="Z149" s="96"/>
      <c r="AH149" s="99">
        <v>129</v>
      </c>
      <c r="AI149" s="113" t="s">
        <v>4903</v>
      </c>
      <c r="AJ149" s="113">
        <v>1000000</v>
      </c>
      <c r="AK149" s="99">
        <v>1</v>
      </c>
      <c r="AL149" s="20">
        <f t="shared" si="33"/>
        <v>55</v>
      </c>
      <c r="AM149" s="117">
        <f t="shared" si="36"/>
        <v>55000000</v>
      </c>
      <c r="AN149" s="20"/>
    </row>
    <row r="150" spans="15:44">
      <c r="P150" s="114"/>
      <c r="Q150" s="96"/>
      <c r="R150" s="96"/>
      <c r="S150" s="96"/>
      <c r="T150" s="96" t="s">
        <v>25</v>
      </c>
      <c r="V150" s="96"/>
      <c r="Z150" s="96"/>
      <c r="AA150" s="114"/>
      <c r="AC150" s="114"/>
      <c r="AD150" s="114"/>
      <c r="AH150" s="99">
        <v>130</v>
      </c>
      <c r="AI150" s="113" t="s">
        <v>4904</v>
      </c>
      <c r="AJ150" s="113">
        <v>65630227</v>
      </c>
      <c r="AK150" s="99">
        <v>0</v>
      </c>
      <c r="AL150" s="20">
        <f t="shared" si="33"/>
        <v>54</v>
      </c>
      <c r="AM150" s="117">
        <f t="shared" ref="AM150:AM179" si="37">AJ150*AL150</f>
        <v>3544032258</v>
      </c>
      <c r="AN150" s="20" t="s">
        <v>4908</v>
      </c>
      <c r="AP150" t="s">
        <v>25</v>
      </c>
      <c r="AR150" t="s">
        <v>25</v>
      </c>
    </row>
    <row r="151" spans="15:44">
      <c r="P151" s="114"/>
      <c r="Q151" s="96"/>
      <c r="R151" s="96"/>
      <c r="S151" s="96"/>
      <c r="T151" s="96"/>
      <c r="V151" s="96"/>
      <c r="Z151" s="96"/>
      <c r="AA151" s="114"/>
      <c r="AC151" s="114"/>
      <c r="AH151" s="99">
        <v>131</v>
      </c>
      <c r="AI151" s="113" t="s">
        <v>4904</v>
      </c>
      <c r="AJ151" s="113">
        <v>-3500000</v>
      </c>
      <c r="AK151" s="99">
        <v>6</v>
      </c>
      <c r="AL151" s="20">
        <f t="shared" si="33"/>
        <v>54</v>
      </c>
      <c r="AM151" s="117">
        <f t="shared" si="37"/>
        <v>-189000000</v>
      </c>
      <c r="AN151" s="20" t="s">
        <v>4907</v>
      </c>
    </row>
    <row r="152" spans="15:44">
      <c r="P152" s="114"/>
      <c r="Q152" s="96"/>
      <c r="R152" s="96"/>
      <c r="S152" s="96"/>
      <c r="T152" s="99" t="s">
        <v>180</v>
      </c>
      <c r="U152" s="99" t="s">
        <v>4485</v>
      </c>
      <c r="V152" s="99" t="s">
        <v>4486</v>
      </c>
      <c r="W152" s="99" t="s">
        <v>4496</v>
      </c>
      <c r="X152" s="99" t="s">
        <v>8</v>
      </c>
      <c r="Z152" s="96"/>
      <c r="AA152" s="114"/>
      <c r="AC152" s="114"/>
      <c r="AD152" s="114"/>
      <c r="AH152" s="99">
        <v>132</v>
      </c>
      <c r="AI152" s="113" t="s">
        <v>4921</v>
      </c>
      <c r="AJ152" s="113">
        <v>2520000</v>
      </c>
      <c r="AK152" s="99">
        <v>12</v>
      </c>
      <c r="AL152" s="20">
        <f t="shared" si="33"/>
        <v>48</v>
      </c>
      <c r="AM152" s="117">
        <f t="shared" si="37"/>
        <v>120960000</v>
      </c>
      <c r="AN152" s="20"/>
    </row>
    <row r="153" spans="15:44">
      <c r="Q153" s="36" t="s">
        <v>4571</v>
      </c>
      <c r="R153" s="95">
        <f>SUM(N40:N44)</f>
        <v>714643889</v>
      </c>
      <c r="T153" s="113" t="s">
        <v>4461</v>
      </c>
      <c r="U153" s="56">
        <v>1000000</v>
      </c>
      <c r="V153" s="113">
        <v>239.024</v>
      </c>
      <c r="W153" s="113">
        <f t="shared" ref="W153:W226" si="38">U153*V153</f>
        <v>239024000</v>
      </c>
      <c r="X153" s="99"/>
      <c r="Y153" s="96"/>
      <c r="Z153" s="96"/>
      <c r="AH153" s="99">
        <v>133</v>
      </c>
      <c r="AI153" s="113" t="s">
        <v>4958</v>
      </c>
      <c r="AJ153" s="113">
        <v>1400000</v>
      </c>
      <c r="AK153" s="99">
        <v>4</v>
      </c>
      <c r="AL153" s="20">
        <f t="shared" si="33"/>
        <v>36</v>
      </c>
      <c r="AM153" s="117">
        <f t="shared" si="37"/>
        <v>50400000</v>
      </c>
      <c r="AN153" s="20"/>
    </row>
    <row r="154" spans="15:44">
      <c r="Q154" s="99" t="s">
        <v>4452</v>
      </c>
      <c r="R154" s="95">
        <f>SUM(N21:N23)</f>
        <v>417983342.69999999</v>
      </c>
      <c r="T154" s="168" t="s">
        <v>4443</v>
      </c>
      <c r="U154" s="56">
        <v>5904</v>
      </c>
      <c r="V154" s="113">
        <v>237.148</v>
      </c>
      <c r="W154" s="113">
        <f t="shared" si="38"/>
        <v>1400121.7919999999</v>
      </c>
      <c r="X154" s="99" t="s">
        <v>751</v>
      </c>
      <c r="Y154" s="96"/>
      <c r="Z154" s="96"/>
      <c r="AH154" s="99">
        <v>134</v>
      </c>
      <c r="AI154" s="113" t="s">
        <v>4985</v>
      </c>
      <c r="AJ154" s="113">
        <v>1550000</v>
      </c>
      <c r="AK154" s="99">
        <v>2</v>
      </c>
      <c r="AL154" s="20">
        <f t="shared" si="33"/>
        <v>32</v>
      </c>
      <c r="AM154" s="117">
        <f t="shared" si="37"/>
        <v>49600000</v>
      </c>
      <c r="AN154" s="20"/>
    </row>
    <row r="155" spans="15:44">
      <c r="Q155" s="99" t="s">
        <v>4453</v>
      </c>
      <c r="R155" s="95">
        <f>SUM(N26:N27)</f>
        <v>38144682.600000001</v>
      </c>
      <c r="T155" s="168" t="s">
        <v>4232</v>
      </c>
      <c r="U155" s="168">
        <v>1000</v>
      </c>
      <c r="V155" s="113">
        <v>247.393</v>
      </c>
      <c r="W155" s="113">
        <f t="shared" si="38"/>
        <v>247393</v>
      </c>
      <c r="X155" s="99" t="s">
        <v>751</v>
      </c>
      <c r="Y155" s="96"/>
      <c r="Z155" s="96"/>
      <c r="AH155" s="99">
        <v>135</v>
      </c>
      <c r="AI155" s="113" t="s">
        <v>4930</v>
      </c>
      <c r="AJ155" s="113">
        <v>250000</v>
      </c>
      <c r="AK155" s="99">
        <v>6</v>
      </c>
      <c r="AL155" s="20">
        <f t="shared" si="33"/>
        <v>30</v>
      </c>
      <c r="AM155" s="117">
        <f t="shared" si="37"/>
        <v>7500000</v>
      </c>
      <c r="AN155" s="20"/>
    </row>
    <row r="156" spans="15:44">
      <c r="P156" s="114"/>
      <c r="Q156" s="99" t="s">
        <v>4454</v>
      </c>
      <c r="R156" s="95">
        <f>N38</f>
        <v>1500000</v>
      </c>
      <c r="T156" s="168" t="s">
        <v>4497</v>
      </c>
      <c r="U156" s="168">
        <v>8071</v>
      </c>
      <c r="V156" s="113">
        <v>247.797</v>
      </c>
      <c r="W156" s="113">
        <f t="shared" si="38"/>
        <v>1999969.5870000001</v>
      </c>
      <c r="X156" s="99" t="s">
        <v>4450</v>
      </c>
      <c r="Y156" s="96"/>
      <c r="Z156" s="96"/>
      <c r="AH156" s="99">
        <v>136</v>
      </c>
      <c r="AI156" s="113" t="s">
        <v>4995</v>
      </c>
      <c r="AJ156" s="113">
        <v>-48527480</v>
      </c>
      <c r="AK156" s="99">
        <v>14</v>
      </c>
      <c r="AL156" s="20">
        <f t="shared" si="33"/>
        <v>24</v>
      </c>
      <c r="AM156" s="117">
        <f t="shared" si="37"/>
        <v>-1164659520</v>
      </c>
      <c r="AN156" s="20" t="s">
        <v>4997</v>
      </c>
    </row>
    <row r="157" spans="15:44">
      <c r="Q157" s="99" t="s">
        <v>4455</v>
      </c>
      <c r="R157" s="95">
        <f>N20</f>
        <v>1119</v>
      </c>
      <c r="T157" s="168" t="s">
        <v>4497</v>
      </c>
      <c r="U157" s="168">
        <v>53672</v>
      </c>
      <c r="V157" s="113">
        <v>247.797</v>
      </c>
      <c r="W157" s="113">
        <f t="shared" si="38"/>
        <v>13299760.584000001</v>
      </c>
      <c r="X157" s="99" t="s">
        <v>452</v>
      </c>
      <c r="Y157" s="96"/>
      <c r="Z157" s="96"/>
      <c r="AH157" s="99">
        <v>137</v>
      </c>
      <c r="AI157" s="113" t="s">
        <v>5029</v>
      </c>
      <c r="AJ157" s="113">
        <v>2100000</v>
      </c>
      <c r="AK157" s="99">
        <v>1</v>
      </c>
      <c r="AL157" s="20">
        <f t="shared" si="33"/>
        <v>10</v>
      </c>
      <c r="AM157" s="117">
        <f t="shared" si="37"/>
        <v>21000000</v>
      </c>
      <c r="AN157" s="20"/>
    </row>
    <row r="158" spans="15:44">
      <c r="P158" s="114"/>
      <c r="Q158" s="99" t="s">
        <v>4456</v>
      </c>
      <c r="R158" s="95">
        <f>N25</f>
        <v>4562</v>
      </c>
      <c r="T158" s="168" t="s">
        <v>4505</v>
      </c>
      <c r="U158" s="168">
        <v>4099</v>
      </c>
      <c r="V158" s="113">
        <v>243.93</v>
      </c>
      <c r="W158" s="113">
        <f t="shared" si="38"/>
        <v>999869.07000000007</v>
      </c>
      <c r="X158" s="99" t="s">
        <v>4450</v>
      </c>
      <c r="Y158" s="96"/>
      <c r="Z158" s="96"/>
      <c r="AH158" s="99">
        <v>138</v>
      </c>
      <c r="AI158" s="113" t="s">
        <v>5037</v>
      </c>
      <c r="AJ158" s="113">
        <v>100000</v>
      </c>
      <c r="AK158" s="99">
        <v>4</v>
      </c>
      <c r="AL158" s="20">
        <f>AL159+AK158</f>
        <v>9</v>
      </c>
      <c r="AM158" s="117">
        <f t="shared" si="37"/>
        <v>900000</v>
      </c>
      <c r="AN158" s="20"/>
      <c r="AQ158" t="s">
        <v>25</v>
      </c>
    </row>
    <row r="159" spans="15:44">
      <c r="O159" s="96"/>
      <c r="Q159" s="99" t="s">
        <v>4468</v>
      </c>
      <c r="R159" s="95">
        <v>0</v>
      </c>
      <c r="T159" s="168" t="s">
        <v>4505</v>
      </c>
      <c r="U159" s="168">
        <v>9301</v>
      </c>
      <c r="V159" s="113">
        <v>243.93</v>
      </c>
      <c r="W159" s="113">
        <f t="shared" si="38"/>
        <v>2268792.9300000002</v>
      </c>
      <c r="X159" s="99" t="s">
        <v>452</v>
      </c>
      <c r="Y159" s="96"/>
      <c r="Z159" s="96"/>
      <c r="AH159" s="99">
        <v>139</v>
      </c>
      <c r="AI159" s="113" t="s">
        <v>5045</v>
      </c>
      <c r="AJ159" s="113">
        <v>900000</v>
      </c>
      <c r="AK159" s="99">
        <v>0</v>
      </c>
      <c r="AL159" s="20">
        <f t="shared" ref="AL159:AL168" si="39">AL160+AK159</f>
        <v>5</v>
      </c>
      <c r="AM159" s="117">
        <f t="shared" ref="AM159:AM168" si="40">AJ159*AL159</f>
        <v>4500000</v>
      </c>
      <c r="AN159" s="20"/>
      <c r="AP159" t="s">
        <v>25</v>
      </c>
    </row>
    <row r="160" spans="15:44">
      <c r="O160" s="96"/>
      <c r="Q160" s="99" t="s">
        <v>4959</v>
      </c>
      <c r="R160" s="95">
        <v>0</v>
      </c>
      <c r="T160" s="168" t="s">
        <v>4511</v>
      </c>
      <c r="U160" s="168">
        <v>8334</v>
      </c>
      <c r="V160" s="113">
        <v>239.97</v>
      </c>
      <c r="W160" s="113">
        <f t="shared" si="38"/>
        <v>1999909.98</v>
      </c>
      <c r="X160" s="99" t="s">
        <v>4450</v>
      </c>
      <c r="Y160" s="96"/>
      <c r="AH160" s="99">
        <v>140</v>
      </c>
      <c r="AI160" s="113" t="s">
        <v>5045</v>
      </c>
      <c r="AJ160" s="113">
        <v>1100000</v>
      </c>
      <c r="AK160" s="99">
        <v>0</v>
      </c>
      <c r="AL160" s="20">
        <f t="shared" si="39"/>
        <v>5</v>
      </c>
      <c r="AM160" s="117">
        <f t="shared" si="40"/>
        <v>5500000</v>
      </c>
      <c r="AN160" s="20" t="s">
        <v>5068</v>
      </c>
      <c r="AQ160" t="s">
        <v>25</v>
      </c>
    </row>
    <row r="161" spans="17:43">
      <c r="Q161" s="99" t="s">
        <v>4877</v>
      </c>
      <c r="R161" s="95">
        <v>200000</v>
      </c>
      <c r="T161" s="168" t="s">
        <v>4231</v>
      </c>
      <c r="U161" s="168">
        <v>29041</v>
      </c>
      <c r="V161" s="113">
        <v>233.45</v>
      </c>
      <c r="W161" s="113">
        <f t="shared" si="38"/>
        <v>6779621.4499999993</v>
      </c>
      <c r="X161" s="99" t="s">
        <v>751</v>
      </c>
      <c r="Y161" s="96"/>
      <c r="AH161" s="99">
        <v>141</v>
      </c>
      <c r="AI161" s="113" t="s">
        <v>5045</v>
      </c>
      <c r="AJ161" s="113">
        <v>115000</v>
      </c>
      <c r="AK161" s="99"/>
      <c r="AL161" s="20">
        <f t="shared" si="39"/>
        <v>5</v>
      </c>
      <c r="AM161" s="117">
        <f t="shared" si="40"/>
        <v>575000</v>
      </c>
      <c r="AN161" s="20"/>
      <c r="AQ161" t="s">
        <v>25</v>
      </c>
    </row>
    <row r="162" spans="17:43">
      <c r="Q162" s="99" t="s">
        <v>4998</v>
      </c>
      <c r="R162" s="95">
        <v>0</v>
      </c>
      <c r="S162" s="115"/>
      <c r="T162" s="168" t="s">
        <v>994</v>
      </c>
      <c r="U162" s="168">
        <v>12337</v>
      </c>
      <c r="V162" s="113">
        <v>243.16300000000001</v>
      </c>
      <c r="W162" s="113">
        <f t="shared" si="38"/>
        <v>2999901.9310000003</v>
      </c>
      <c r="X162" s="99" t="s">
        <v>4450</v>
      </c>
      <c r="Y162" s="96"/>
      <c r="AH162" s="99">
        <v>142</v>
      </c>
      <c r="AI162" s="113" t="s">
        <v>5056</v>
      </c>
      <c r="AJ162" s="113">
        <v>-1100000</v>
      </c>
      <c r="AK162" s="99"/>
      <c r="AL162" s="20">
        <f t="shared" si="39"/>
        <v>5</v>
      </c>
      <c r="AM162" s="117">
        <f t="shared" si="40"/>
        <v>-5500000</v>
      </c>
      <c r="AN162" s="20" t="s">
        <v>5069</v>
      </c>
      <c r="AQ162" t="s">
        <v>25</v>
      </c>
    </row>
    <row r="163" spans="17:43">
      <c r="Q163" s="99" t="s">
        <v>4460</v>
      </c>
      <c r="R163" s="95">
        <f>SUM(R153:R162)</f>
        <v>1172477595.3</v>
      </c>
      <c r="S163" s="122"/>
      <c r="T163" s="168" t="s">
        <v>4592</v>
      </c>
      <c r="U163" s="168">
        <v>-16118</v>
      </c>
      <c r="V163" s="113">
        <v>248.17</v>
      </c>
      <c r="W163" s="113">
        <f t="shared" si="38"/>
        <v>-4000004.0599999996</v>
      </c>
      <c r="X163" s="99" t="s">
        <v>751</v>
      </c>
      <c r="Y163" s="96"/>
      <c r="AH163" s="99">
        <v>143</v>
      </c>
      <c r="AI163" s="113" t="s">
        <v>5056</v>
      </c>
      <c r="AJ163" s="113">
        <v>900000</v>
      </c>
      <c r="AK163" s="99">
        <v>1</v>
      </c>
      <c r="AL163" s="20">
        <f t="shared" si="39"/>
        <v>5</v>
      </c>
      <c r="AM163" s="117">
        <f t="shared" si="40"/>
        <v>4500000</v>
      </c>
      <c r="AN163" s="20" t="s">
        <v>5068</v>
      </c>
    </row>
    <row r="164" spans="17:43">
      <c r="Q164" s="96"/>
      <c r="S164" s="115"/>
      <c r="T164" s="168" t="s">
        <v>4620</v>
      </c>
      <c r="U164" s="168">
        <v>101681</v>
      </c>
      <c r="V164" s="113">
        <v>246.5711</v>
      </c>
      <c r="W164" s="113">
        <f t="shared" si="38"/>
        <v>25071596.019099999</v>
      </c>
      <c r="X164" s="99" t="s">
        <v>452</v>
      </c>
      <c r="Y164" s="96"/>
      <c r="AH164" s="99">
        <v>144</v>
      </c>
      <c r="AI164" s="113" t="s">
        <v>5066</v>
      </c>
      <c r="AJ164" s="113">
        <v>2000000</v>
      </c>
      <c r="AK164" s="99">
        <v>0</v>
      </c>
      <c r="AL164" s="20">
        <f t="shared" si="39"/>
        <v>4</v>
      </c>
      <c r="AM164" s="117">
        <f t="shared" si="40"/>
        <v>8000000</v>
      </c>
      <c r="AN164" s="20"/>
    </row>
    <row r="165" spans="17:43">
      <c r="Q165" s="96"/>
      <c r="R165" s="182"/>
      <c r="S165" s="115"/>
      <c r="T165" s="168" t="s">
        <v>4624</v>
      </c>
      <c r="U165" s="168">
        <v>66606</v>
      </c>
      <c r="V165" s="113">
        <v>251.131</v>
      </c>
      <c r="W165" s="113">
        <f t="shared" si="38"/>
        <v>16726831.386</v>
      </c>
      <c r="X165" s="99" t="s">
        <v>751</v>
      </c>
      <c r="Y165" s="96"/>
      <c r="AH165" s="99">
        <v>145</v>
      </c>
      <c r="AI165" s="113" t="s">
        <v>5066</v>
      </c>
      <c r="AJ165" s="113">
        <v>360000</v>
      </c>
      <c r="AK165" s="99">
        <v>1</v>
      </c>
      <c r="AL165" s="20">
        <f t="shared" si="39"/>
        <v>4</v>
      </c>
      <c r="AM165" s="117">
        <f t="shared" si="40"/>
        <v>1440000</v>
      </c>
      <c r="AN165" s="20"/>
    </row>
    <row r="166" spans="17:43">
      <c r="Q166" s="96"/>
      <c r="R166" s="182"/>
      <c r="T166" s="168" t="s">
        <v>4629</v>
      </c>
      <c r="U166" s="168">
        <v>172025</v>
      </c>
      <c r="V166" s="113">
        <v>245.52809999999999</v>
      </c>
      <c r="W166" s="113">
        <f t="shared" si="38"/>
        <v>42236971.402499996</v>
      </c>
      <c r="X166" s="99" t="s">
        <v>452</v>
      </c>
      <c r="Y166" t="s">
        <v>25</v>
      </c>
      <c r="AH166" s="99">
        <v>146</v>
      </c>
      <c r="AI166" s="113" t="s">
        <v>5067</v>
      </c>
      <c r="AJ166" s="113">
        <v>3000000</v>
      </c>
      <c r="AK166" s="99">
        <v>1</v>
      </c>
      <c r="AL166" s="20">
        <f t="shared" si="39"/>
        <v>3</v>
      </c>
      <c r="AM166" s="117">
        <f t="shared" si="40"/>
        <v>9000000</v>
      </c>
      <c r="AN166" s="20"/>
    </row>
    <row r="167" spans="17:43">
      <c r="Q167" s="96"/>
      <c r="R167" s="115"/>
      <c r="T167" s="168" t="s">
        <v>4629</v>
      </c>
      <c r="U167" s="168">
        <v>189227</v>
      </c>
      <c r="V167" s="113">
        <v>245.52809999999999</v>
      </c>
      <c r="W167" s="113">
        <f t="shared" si="38"/>
        <v>46460545.778700002</v>
      </c>
      <c r="X167" s="99" t="s">
        <v>751</v>
      </c>
      <c r="AH167" s="99">
        <v>147</v>
      </c>
      <c r="AI167" s="113" t="s">
        <v>5063</v>
      </c>
      <c r="AJ167" s="113">
        <v>-658226</v>
      </c>
      <c r="AK167" s="99">
        <v>1</v>
      </c>
      <c r="AL167" s="20">
        <f t="shared" si="39"/>
        <v>2</v>
      </c>
      <c r="AM167" s="117">
        <f t="shared" si="40"/>
        <v>-1316452</v>
      </c>
      <c r="AN167" s="20"/>
    </row>
    <row r="168" spans="17:43">
      <c r="T168" s="168" t="s">
        <v>4631</v>
      </c>
      <c r="U168" s="168">
        <v>79720</v>
      </c>
      <c r="V168" s="113">
        <v>246.6568</v>
      </c>
      <c r="W168" s="113">
        <f t="shared" si="38"/>
        <v>19663480.096000001</v>
      </c>
      <c r="X168" s="99" t="s">
        <v>452</v>
      </c>
      <c r="Y168" t="s">
        <v>25</v>
      </c>
      <c r="AH168" s="99">
        <v>148</v>
      </c>
      <c r="AI168" s="113" t="s">
        <v>5070</v>
      </c>
      <c r="AJ168" s="113">
        <v>1000000</v>
      </c>
      <c r="AK168" s="99">
        <v>1</v>
      </c>
      <c r="AL168" s="20">
        <f t="shared" si="39"/>
        <v>1</v>
      </c>
      <c r="AM168" s="117">
        <f t="shared" si="40"/>
        <v>1000000</v>
      </c>
      <c r="AN168" s="20"/>
      <c r="AP168" t="s">
        <v>25</v>
      </c>
    </row>
    <row r="169" spans="17:43">
      <c r="Q169" s="99" t="s">
        <v>8</v>
      </c>
      <c r="R169" s="99" t="s">
        <v>4450</v>
      </c>
      <c r="S169" s="99"/>
      <c r="T169" s="168" t="s">
        <v>4631</v>
      </c>
      <c r="U169" s="168">
        <v>79720</v>
      </c>
      <c r="V169" s="113">
        <v>246.6568</v>
      </c>
      <c r="W169" s="113">
        <f t="shared" si="38"/>
        <v>19663480.096000001</v>
      </c>
      <c r="X169" s="99" t="s">
        <v>751</v>
      </c>
      <c r="AH169" s="99"/>
      <c r="AI169" s="113"/>
      <c r="AJ169" s="113"/>
      <c r="AK169" s="99"/>
      <c r="AL169" s="20">
        <f t="shared" si="33"/>
        <v>0</v>
      </c>
      <c r="AM169" s="117">
        <f t="shared" si="37"/>
        <v>0</v>
      </c>
      <c r="AN169" s="20"/>
    </row>
    <row r="170" spans="17:43">
      <c r="Q170" s="99"/>
      <c r="R170" s="36" t="s">
        <v>180</v>
      </c>
      <c r="S170" s="99" t="s">
        <v>267</v>
      </c>
      <c r="T170" s="168" t="s">
        <v>4657</v>
      </c>
      <c r="U170" s="168">
        <v>17769</v>
      </c>
      <c r="V170" s="113">
        <v>246.17877999999999</v>
      </c>
      <c r="W170" s="113">
        <f t="shared" si="38"/>
        <v>4374350.7418200001</v>
      </c>
      <c r="X170" s="99" t="s">
        <v>751</v>
      </c>
      <c r="Y170" t="s">
        <v>25</v>
      </c>
      <c r="AE170" s="96" t="s">
        <v>25</v>
      </c>
      <c r="AH170" s="99"/>
      <c r="AI170" s="113"/>
      <c r="AJ170" s="113"/>
      <c r="AK170" s="99"/>
      <c r="AL170" s="20">
        <f t="shared" si="33"/>
        <v>0</v>
      </c>
      <c r="AM170" s="117">
        <f t="shared" si="37"/>
        <v>0</v>
      </c>
      <c r="AN170" s="20"/>
    </row>
    <row r="171" spans="17:43">
      <c r="Q171" s="99"/>
      <c r="R171" s="99" t="s">
        <v>4443</v>
      </c>
      <c r="S171" s="95">
        <v>3000000</v>
      </c>
      <c r="T171" s="168" t="s">
        <v>4657</v>
      </c>
      <c r="U171" s="168">
        <v>17769</v>
      </c>
      <c r="V171" s="113">
        <v>246.17877999999999</v>
      </c>
      <c r="W171" s="113">
        <f t="shared" si="38"/>
        <v>4374350.7418200001</v>
      </c>
      <c r="X171" s="99" t="s">
        <v>452</v>
      </c>
      <c r="AH171" s="99"/>
      <c r="AI171" s="113"/>
      <c r="AJ171" s="113"/>
      <c r="AK171" s="99"/>
      <c r="AL171" s="20">
        <f t="shared" si="33"/>
        <v>0</v>
      </c>
      <c r="AM171" s="117">
        <f t="shared" si="37"/>
        <v>0</v>
      </c>
      <c r="AN171" s="20"/>
    </row>
    <row r="172" spans="17:43">
      <c r="Q172" s="99"/>
      <c r="R172" s="99" t="s">
        <v>4497</v>
      </c>
      <c r="S172" s="95">
        <v>2000000</v>
      </c>
      <c r="T172" s="168" t="s">
        <v>4662</v>
      </c>
      <c r="U172" s="168">
        <v>12438</v>
      </c>
      <c r="V172" s="113">
        <v>241.20465999999999</v>
      </c>
      <c r="W172" s="113">
        <f t="shared" si="38"/>
        <v>3000103.5610799999</v>
      </c>
      <c r="X172" s="99" t="s">
        <v>4450</v>
      </c>
      <c r="AH172" s="99"/>
      <c r="AI172" s="113"/>
      <c r="AJ172" s="113"/>
      <c r="AK172" s="99"/>
      <c r="AL172" s="20">
        <f t="shared" si="33"/>
        <v>0</v>
      </c>
      <c r="AM172" s="117">
        <f t="shared" si="37"/>
        <v>0</v>
      </c>
      <c r="AN172" s="20"/>
    </row>
    <row r="173" spans="17:43">
      <c r="Q173" s="99"/>
      <c r="R173" s="99" t="s">
        <v>4505</v>
      </c>
      <c r="S173" s="95">
        <v>1000000</v>
      </c>
      <c r="T173" s="168" t="s">
        <v>4672</v>
      </c>
      <c r="U173" s="168">
        <v>27363</v>
      </c>
      <c r="V173" s="113">
        <v>239.3886</v>
      </c>
      <c r="W173" s="113">
        <f t="shared" si="38"/>
        <v>6550390.2617999995</v>
      </c>
      <c r="X173" s="99" t="s">
        <v>751</v>
      </c>
      <c r="AH173" s="99"/>
      <c r="AI173" s="113"/>
      <c r="AJ173" s="113"/>
      <c r="AK173" s="99"/>
      <c r="AL173" s="20">
        <f t="shared" si="33"/>
        <v>0</v>
      </c>
      <c r="AM173" s="117">
        <f t="shared" si="37"/>
        <v>0</v>
      </c>
      <c r="AN173" s="20"/>
    </row>
    <row r="174" spans="17:43">
      <c r="Q174" s="99"/>
      <c r="R174" s="99" t="s">
        <v>4511</v>
      </c>
      <c r="S174" s="95">
        <v>2000000</v>
      </c>
      <c r="T174" s="168" t="s">
        <v>4672</v>
      </c>
      <c r="U174" s="168">
        <v>27363</v>
      </c>
      <c r="V174" s="113">
        <v>239.3886</v>
      </c>
      <c r="W174" s="113">
        <f t="shared" si="38"/>
        <v>6550390.2617999995</v>
      </c>
      <c r="X174" s="99" t="s">
        <v>452</v>
      </c>
      <c r="AH174" s="99"/>
      <c r="AI174" s="113"/>
      <c r="AJ174" s="113"/>
      <c r="AK174" s="99"/>
      <c r="AL174" s="20">
        <f t="shared" si="33"/>
        <v>0</v>
      </c>
      <c r="AM174" s="117">
        <f t="shared" si="37"/>
        <v>0</v>
      </c>
      <c r="AN174" s="20"/>
    </row>
    <row r="175" spans="17:43">
      <c r="Q175" s="99"/>
      <c r="R175" s="99" t="s">
        <v>994</v>
      </c>
      <c r="S175" s="95">
        <v>3000000</v>
      </c>
      <c r="T175" s="211" t="s">
        <v>4675</v>
      </c>
      <c r="U175" s="211">
        <v>27437</v>
      </c>
      <c r="V175" s="113">
        <v>242.4015</v>
      </c>
      <c r="W175" s="113">
        <f t="shared" si="38"/>
        <v>6650769.9555000002</v>
      </c>
      <c r="X175" s="99" t="s">
        <v>751</v>
      </c>
      <c r="AH175" s="99"/>
      <c r="AI175" s="113"/>
      <c r="AJ175" s="113"/>
      <c r="AK175" s="99"/>
      <c r="AL175" s="20">
        <f t="shared" si="33"/>
        <v>0</v>
      </c>
      <c r="AM175" s="117">
        <f t="shared" si="37"/>
        <v>0</v>
      </c>
      <c r="AN175" s="20"/>
    </row>
    <row r="176" spans="17:43">
      <c r="Q176" s="99"/>
      <c r="R176" s="99" t="s">
        <v>4662</v>
      </c>
      <c r="S176" s="95">
        <v>3000000</v>
      </c>
      <c r="T176" s="211" t="s">
        <v>4675</v>
      </c>
      <c r="U176" s="211">
        <v>29104</v>
      </c>
      <c r="V176" s="113">
        <v>242.4015</v>
      </c>
      <c r="W176" s="113">
        <f t="shared" si="38"/>
        <v>7054853.2560000001</v>
      </c>
      <c r="X176" s="99" t="s">
        <v>452</v>
      </c>
      <c r="AH176" s="99"/>
      <c r="AI176" s="113"/>
      <c r="AJ176" s="113"/>
      <c r="AK176" s="99"/>
      <c r="AL176" s="20">
        <f t="shared" si="33"/>
        <v>0</v>
      </c>
      <c r="AM176" s="117">
        <f t="shared" si="37"/>
        <v>0</v>
      </c>
      <c r="AN176" s="20"/>
    </row>
    <row r="177" spans="17:44">
      <c r="Q177" s="99" t="s">
        <v>4866</v>
      </c>
      <c r="R177" s="99" t="s">
        <v>4861</v>
      </c>
      <c r="S177" s="95">
        <v>-800000</v>
      </c>
      <c r="T177" s="214" t="s">
        <v>4699</v>
      </c>
      <c r="U177" s="214">
        <v>8991</v>
      </c>
      <c r="V177" s="113">
        <v>238.64867000000001</v>
      </c>
      <c r="W177" s="113">
        <f t="shared" si="38"/>
        <v>2145690.19197</v>
      </c>
      <c r="X177" s="99" t="s">
        <v>751</v>
      </c>
      <c r="AH177" s="99"/>
      <c r="AI177" s="113"/>
      <c r="AJ177" s="113"/>
      <c r="AK177" s="99"/>
      <c r="AL177" s="20">
        <f t="shared" si="33"/>
        <v>0</v>
      </c>
      <c r="AM177" s="117">
        <f t="shared" si="37"/>
        <v>0</v>
      </c>
      <c r="AN177" s="20"/>
    </row>
    <row r="178" spans="17:44">
      <c r="Q178" s="99" t="s">
        <v>4867</v>
      </c>
      <c r="R178" s="99" t="s">
        <v>4861</v>
      </c>
      <c r="S178" s="95">
        <v>-900000</v>
      </c>
      <c r="T178" s="214" t="s">
        <v>4699</v>
      </c>
      <c r="U178" s="214">
        <v>8991</v>
      </c>
      <c r="V178" s="113">
        <v>238.64867000000001</v>
      </c>
      <c r="W178" s="113">
        <f t="shared" si="38"/>
        <v>2145690.19197</v>
      </c>
      <c r="X178" s="99" t="s">
        <v>452</v>
      </c>
      <c r="AH178" s="99"/>
      <c r="AI178" s="113"/>
      <c r="AJ178" s="113"/>
      <c r="AK178" s="99"/>
      <c r="AL178" s="20">
        <f t="shared" si="33"/>
        <v>0</v>
      </c>
      <c r="AM178" s="117">
        <f t="shared" si="37"/>
        <v>0</v>
      </c>
      <c r="AN178" s="20"/>
    </row>
    <row r="179" spans="17:44">
      <c r="Q179" s="99" t="s">
        <v>4867</v>
      </c>
      <c r="R179" s="99" t="s">
        <v>981</v>
      </c>
      <c r="S179" s="95">
        <v>-1100000</v>
      </c>
      <c r="T179" s="214" t="s">
        <v>4711</v>
      </c>
      <c r="U179" s="214">
        <v>18170</v>
      </c>
      <c r="V179" s="113">
        <v>240.48475999999999</v>
      </c>
      <c r="W179" s="113">
        <f t="shared" si="38"/>
        <v>4369608.0892000003</v>
      </c>
      <c r="X179" s="99" t="s">
        <v>751</v>
      </c>
      <c r="Y179" t="s">
        <v>25</v>
      </c>
      <c r="AH179" s="99"/>
      <c r="AI179" s="113"/>
      <c r="AJ179" s="113"/>
      <c r="AK179" s="99"/>
      <c r="AL179" s="99">
        <f t="shared" si="33"/>
        <v>0</v>
      </c>
      <c r="AM179" s="117">
        <f t="shared" si="37"/>
        <v>0</v>
      </c>
      <c r="AN179" s="99"/>
    </row>
    <row r="180" spans="17:44">
      <c r="Q180" s="196" t="s">
        <v>1087</v>
      </c>
      <c r="R180" s="196" t="s">
        <v>4892</v>
      </c>
      <c r="S180" s="243">
        <v>30000000</v>
      </c>
      <c r="T180" s="214" t="s">
        <v>4711</v>
      </c>
      <c r="U180" s="214">
        <v>18170</v>
      </c>
      <c r="V180" s="113">
        <v>240.48475999999999</v>
      </c>
      <c r="W180" s="113">
        <f t="shared" si="38"/>
        <v>4369608.0892000003</v>
      </c>
      <c r="X180" s="99" t="s">
        <v>452</v>
      </c>
      <c r="AH180" s="99"/>
      <c r="AI180" s="99"/>
      <c r="AJ180" s="95">
        <f>SUM(AJ20:AJ179)</f>
        <v>541053407</v>
      </c>
      <c r="AK180" s="99"/>
      <c r="AL180" s="99"/>
      <c r="AM180" s="95">
        <f>SUM(AM20:AM179)</f>
        <v>100722482279</v>
      </c>
      <c r="AN180" s="95">
        <f>AM180*AN183/31</f>
        <v>54152955.230454616</v>
      </c>
    </row>
    <row r="181" spans="17:44">
      <c r="Q181" s="20" t="s">
        <v>4989</v>
      </c>
      <c r="R181" s="20" t="s">
        <v>4987</v>
      </c>
      <c r="S181" s="248">
        <v>2000000</v>
      </c>
      <c r="T181" s="214" t="s">
        <v>4714</v>
      </c>
      <c r="U181" s="214">
        <v>36797</v>
      </c>
      <c r="V181" s="113">
        <v>239.0822</v>
      </c>
      <c r="W181" s="113">
        <f t="shared" si="38"/>
        <v>8797507.7134000007</v>
      </c>
      <c r="X181" s="99" t="s">
        <v>751</v>
      </c>
      <c r="Y181" t="s">
        <v>25</v>
      </c>
      <c r="AH181" s="99"/>
      <c r="AI181" s="99"/>
      <c r="AJ181" s="99" t="s">
        <v>4059</v>
      </c>
      <c r="AK181" s="99"/>
      <c r="AL181" s="99"/>
      <c r="AM181" s="99" t="s">
        <v>284</v>
      </c>
      <c r="AN181" s="99" t="s">
        <v>943</v>
      </c>
    </row>
    <row r="182" spans="17:44">
      <c r="Q182" s="149" t="s">
        <v>5021</v>
      </c>
      <c r="R182" s="149" t="s">
        <v>5020</v>
      </c>
      <c r="S182" s="150">
        <v>480105</v>
      </c>
      <c r="T182" s="214" t="s">
        <v>4714</v>
      </c>
      <c r="U182" s="214">
        <v>36797</v>
      </c>
      <c r="V182" s="113">
        <v>239.0822</v>
      </c>
      <c r="W182" s="113">
        <f t="shared" si="38"/>
        <v>8797507.7134000007</v>
      </c>
      <c r="X182" s="99" t="s">
        <v>452</v>
      </c>
      <c r="Y182" t="s">
        <v>25</v>
      </c>
      <c r="AH182" s="99"/>
      <c r="AI182" s="99"/>
      <c r="AJ182" s="99"/>
      <c r="AK182" s="99"/>
      <c r="AL182" s="99"/>
      <c r="AM182" s="99"/>
      <c r="AN182" s="99"/>
    </row>
    <row r="183" spans="17:44">
      <c r="Q183" s="99"/>
      <c r="R183" s="99"/>
      <c r="S183" s="95"/>
      <c r="T183" s="214" t="s">
        <v>4723</v>
      </c>
      <c r="U183" s="214">
        <v>28066</v>
      </c>
      <c r="V183" s="113">
        <v>237.56970000000001</v>
      </c>
      <c r="W183" s="113">
        <f t="shared" si="38"/>
        <v>6667631.2002000008</v>
      </c>
      <c r="X183" s="99" t="s">
        <v>751</v>
      </c>
      <c r="AH183" s="99"/>
      <c r="AI183" s="99"/>
      <c r="AJ183" s="99"/>
      <c r="AK183" s="99"/>
      <c r="AL183" s="99"/>
      <c r="AM183" s="99" t="s">
        <v>4060</v>
      </c>
      <c r="AN183" s="99">
        <v>1.6667000000000001E-2</v>
      </c>
    </row>
    <row r="184" spans="17:44">
      <c r="Q184" s="99"/>
      <c r="R184" s="99"/>
      <c r="S184" s="95">
        <f>SUM(S171:S182)</f>
        <v>43680105</v>
      </c>
      <c r="T184" s="214" t="s">
        <v>4723</v>
      </c>
      <c r="U184" s="214">
        <v>28066</v>
      </c>
      <c r="V184" s="113">
        <v>237.56970000000001</v>
      </c>
      <c r="W184" s="113">
        <f t="shared" si="38"/>
        <v>6667631.2002000008</v>
      </c>
      <c r="X184" s="99" t="s">
        <v>452</v>
      </c>
      <c r="AH184" s="99"/>
      <c r="AI184" s="99"/>
      <c r="AJ184" s="99"/>
      <c r="AK184" s="99"/>
      <c r="AL184" s="99"/>
      <c r="AM184" s="99"/>
      <c r="AN184" s="99"/>
      <c r="AR184" t="s">
        <v>25</v>
      </c>
    </row>
    <row r="185" spans="17:44">
      <c r="Q185" s="99"/>
      <c r="R185" s="99"/>
      <c r="S185" s="99" t="s">
        <v>6</v>
      </c>
      <c r="T185" s="214" t="s">
        <v>3684</v>
      </c>
      <c r="U185" s="214">
        <v>37457</v>
      </c>
      <c r="V185" s="113">
        <v>239.77</v>
      </c>
      <c r="W185" s="113">
        <f t="shared" si="38"/>
        <v>8981064.8900000006</v>
      </c>
      <c r="X185" s="99" t="s">
        <v>751</v>
      </c>
      <c r="AH185" s="99"/>
      <c r="AI185" s="99" t="s">
        <v>4061</v>
      </c>
      <c r="AJ185" s="95">
        <f>AJ180+AN180</f>
        <v>595206362.23045456</v>
      </c>
      <c r="AK185" s="99"/>
      <c r="AL185" s="99"/>
      <c r="AM185" s="99"/>
      <c r="AN185" s="99"/>
    </row>
    <row r="186" spans="17:44">
      <c r="T186" s="214" t="s">
        <v>3684</v>
      </c>
      <c r="U186" s="214">
        <v>37457</v>
      </c>
      <c r="V186" s="113">
        <v>239.77</v>
      </c>
      <c r="W186" s="113">
        <f t="shared" si="38"/>
        <v>8981064.8900000006</v>
      </c>
      <c r="X186" s="99" t="s">
        <v>452</v>
      </c>
      <c r="AI186" t="s">
        <v>4064</v>
      </c>
      <c r="AJ186" s="114">
        <f>SUM(N38:N44)</f>
        <v>716143889</v>
      </c>
    </row>
    <row r="187" spans="17:44">
      <c r="Q187" s="96"/>
      <c r="R187" s="96" t="s">
        <v>25</v>
      </c>
      <c r="T187" s="214" t="s">
        <v>4736</v>
      </c>
      <c r="U187" s="214">
        <v>38412</v>
      </c>
      <c r="V187" s="113">
        <v>239.03</v>
      </c>
      <c r="W187" s="113">
        <f t="shared" si="38"/>
        <v>9181620.3599999994</v>
      </c>
      <c r="X187" s="99" t="s">
        <v>751</v>
      </c>
      <c r="Z187" t="s">
        <v>25</v>
      </c>
      <c r="AI187" t="s">
        <v>4136</v>
      </c>
      <c r="AJ187" s="114">
        <f>AJ186-AJ180</f>
        <v>175090482</v>
      </c>
      <c r="AM187" t="s">
        <v>25</v>
      </c>
    </row>
    <row r="188" spans="17:44">
      <c r="Q188" s="96"/>
      <c r="R188" s="96"/>
      <c r="T188" s="214" t="s">
        <v>4736</v>
      </c>
      <c r="U188" s="214">
        <v>38412</v>
      </c>
      <c r="V188" s="113">
        <v>239.03</v>
      </c>
      <c r="W188" s="113">
        <f t="shared" si="38"/>
        <v>9181620.3599999994</v>
      </c>
      <c r="X188" s="99" t="s">
        <v>452</v>
      </c>
      <c r="AI188" t="s">
        <v>943</v>
      </c>
      <c r="AJ188" s="114">
        <f>AN180</f>
        <v>54152955.230454616</v>
      </c>
      <c r="AN188" t="s">
        <v>25</v>
      </c>
    </row>
    <row r="189" spans="17:44">
      <c r="T189" s="214" t="s">
        <v>4740</v>
      </c>
      <c r="U189" s="214">
        <v>49555</v>
      </c>
      <c r="V189" s="113">
        <v>238.345</v>
      </c>
      <c r="W189" s="113">
        <f t="shared" si="38"/>
        <v>11811186.475</v>
      </c>
      <c r="X189" s="99" t="s">
        <v>751</v>
      </c>
      <c r="AI189" t="s">
        <v>4065</v>
      </c>
      <c r="AJ189" s="114">
        <f>AJ186-AJ185</f>
        <v>120937526.76954544</v>
      </c>
      <c r="AN189" t="s">
        <v>25</v>
      </c>
    </row>
    <row r="190" spans="17:44">
      <c r="Q190" s="99" t="s">
        <v>751</v>
      </c>
      <c r="R190" s="99"/>
      <c r="T190" s="214" t="s">
        <v>4740</v>
      </c>
      <c r="U190" s="214">
        <v>49555</v>
      </c>
      <c r="V190" s="113">
        <v>238.345</v>
      </c>
      <c r="W190" s="113">
        <f t="shared" si="38"/>
        <v>11811186.475</v>
      </c>
      <c r="X190" s="99" t="s">
        <v>452</v>
      </c>
      <c r="AM190" t="s">
        <v>25</v>
      </c>
    </row>
    <row r="191" spans="17:44">
      <c r="Q191" s="99" t="s">
        <v>4443</v>
      </c>
      <c r="R191" s="95">
        <v>172908000</v>
      </c>
      <c r="T191" s="214" t="s">
        <v>4754</v>
      </c>
      <c r="U191" s="214">
        <v>160187</v>
      </c>
      <c r="V191" s="113">
        <v>257.49799999999999</v>
      </c>
      <c r="W191" s="113">
        <f t="shared" si="38"/>
        <v>41247832.126000002</v>
      </c>
      <c r="X191" s="99" t="s">
        <v>751</v>
      </c>
      <c r="Y191" t="s">
        <v>25</v>
      </c>
      <c r="AJ191" t="s">
        <v>25</v>
      </c>
    </row>
    <row r="192" spans="17:44">
      <c r="Q192" s="99" t="s">
        <v>4484</v>
      </c>
      <c r="R192" s="95">
        <v>1400000</v>
      </c>
      <c r="T192" s="214" t="s">
        <v>4754</v>
      </c>
      <c r="U192" s="214">
        <v>160187</v>
      </c>
      <c r="V192" s="113">
        <v>257.49799999999999</v>
      </c>
      <c r="W192" s="113">
        <f t="shared" si="38"/>
        <v>41247832.126000002</v>
      </c>
      <c r="X192" s="99" t="s">
        <v>452</v>
      </c>
    </row>
    <row r="193" spans="15:44">
      <c r="O193" t="s">
        <v>25</v>
      </c>
      <c r="Q193" s="99" t="s">
        <v>4232</v>
      </c>
      <c r="R193" s="95">
        <v>247393</v>
      </c>
      <c r="S193" t="s">
        <v>25</v>
      </c>
      <c r="T193" s="214" t="s">
        <v>4762</v>
      </c>
      <c r="U193" s="214">
        <v>144401</v>
      </c>
      <c r="V193" s="113">
        <v>258.5061</v>
      </c>
      <c r="W193" s="113">
        <f t="shared" si="38"/>
        <v>37328539.346100003</v>
      </c>
      <c r="X193" s="99" t="s">
        <v>751</v>
      </c>
    </row>
    <row r="194" spans="15:44">
      <c r="Q194" s="99" t="s">
        <v>4231</v>
      </c>
      <c r="R194" s="95">
        <v>6780000</v>
      </c>
      <c r="T194" s="214" t="s">
        <v>4762</v>
      </c>
      <c r="U194" s="214">
        <v>144401</v>
      </c>
      <c r="V194" s="113">
        <v>258.5061</v>
      </c>
      <c r="W194" s="113">
        <f t="shared" si="38"/>
        <v>37328539.346100003</v>
      </c>
      <c r="X194" s="99" t="s">
        <v>452</v>
      </c>
    </row>
    <row r="195" spans="15:44">
      <c r="Q195" s="99" t="s">
        <v>4592</v>
      </c>
      <c r="R195" s="95">
        <v>-4000000</v>
      </c>
      <c r="T195" s="168" t="s">
        <v>4770</v>
      </c>
      <c r="U195" s="168">
        <v>196500</v>
      </c>
      <c r="V195" s="113">
        <v>254.452</v>
      </c>
      <c r="W195" s="113">
        <f t="shared" si="38"/>
        <v>49999818</v>
      </c>
      <c r="X195" s="99" t="s">
        <v>4775</v>
      </c>
    </row>
    <row r="196" spans="15:44">
      <c r="Q196" s="99" t="s">
        <v>4624</v>
      </c>
      <c r="R196" s="95">
        <v>16727037</v>
      </c>
      <c r="T196" s="214" t="s">
        <v>4770</v>
      </c>
      <c r="U196" s="214">
        <v>2561</v>
      </c>
      <c r="V196" s="113">
        <v>254.536</v>
      </c>
      <c r="W196" s="113">
        <f t="shared" si="38"/>
        <v>651866.696</v>
      </c>
      <c r="X196" s="99" t="s">
        <v>4776</v>
      </c>
      <c r="AH196" s="99" t="s">
        <v>3641</v>
      </c>
      <c r="AI196" s="99" t="s">
        <v>180</v>
      </c>
      <c r="AJ196" s="99" t="s">
        <v>267</v>
      </c>
      <c r="AK196" s="99" t="s">
        <v>4058</v>
      </c>
      <c r="AL196" s="99" t="s">
        <v>4050</v>
      </c>
      <c r="AM196" s="99" t="s">
        <v>282</v>
      </c>
      <c r="AN196" s="99" t="s">
        <v>4293</v>
      </c>
    </row>
    <row r="197" spans="15:44">
      <c r="Q197" s="99" t="s">
        <v>4629</v>
      </c>
      <c r="R197" s="95">
        <v>46460683</v>
      </c>
      <c r="S197" t="s">
        <v>25</v>
      </c>
      <c r="T197" s="214" t="s">
        <v>4825</v>
      </c>
      <c r="U197" s="214">
        <v>-11795</v>
      </c>
      <c r="V197" s="113">
        <v>254.334</v>
      </c>
      <c r="W197" s="113">
        <f t="shared" si="38"/>
        <v>-2999869.5300000003</v>
      </c>
      <c r="X197" s="99" t="s">
        <v>4826</v>
      </c>
      <c r="Y197" t="s">
        <v>25</v>
      </c>
      <c r="AH197" s="99">
        <v>1</v>
      </c>
      <c r="AI197" s="99" t="s">
        <v>3949</v>
      </c>
      <c r="AJ197" s="117">
        <v>3555820</v>
      </c>
      <c r="AK197" s="99">
        <v>2</v>
      </c>
      <c r="AL197" s="99">
        <f>AK197+AL198</f>
        <v>319</v>
      </c>
      <c r="AM197" s="99">
        <f>AJ197*AL197</f>
        <v>1134306580</v>
      </c>
      <c r="AN197" s="99" t="s">
        <v>4313</v>
      </c>
    </row>
    <row r="198" spans="15:44">
      <c r="Q198" s="99" t="s">
        <v>4631</v>
      </c>
      <c r="R198" s="95">
        <v>19663646</v>
      </c>
      <c r="T198" s="214" t="s">
        <v>4825</v>
      </c>
      <c r="U198" s="214">
        <v>11795</v>
      </c>
      <c r="V198" s="113">
        <v>254.334</v>
      </c>
      <c r="W198" s="113">
        <f t="shared" si="38"/>
        <v>2999869.5300000003</v>
      </c>
      <c r="X198" s="99" t="s">
        <v>4827</v>
      </c>
      <c r="AH198" s="99">
        <v>2</v>
      </c>
      <c r="AI198" s="99" t="s">
        <v>4024</v>
      </c>
      <c r="AJ198" s="117">
        <v>1720837</v>
      </c>
      <c r="AK198" s="99">
        <v>51</v>
      </c>
      <c r="AL198" s="99">
        <f t="shared" ref="AL198:AL207" si="41">AK198+AL199</f>
        <v>317</v>
      </c>
      <c r="AM198" s="99">
        <f t="shared" ref="AM198:AM226" si="42">AJ198*AL198</f>
        <v>545505329</v>
      </c>
      <c r="AN198" s="99" t="s">
        <v>4314</v>
      </c>
    </row>
    <row r="199" spans="15:44">
      <c r="Q199" s="99" t="s">
        <v>4657</v>
      </c>
      <c r="R199" s="95">
        <v>4374525</v>
      </c>
      <c r="T199" s="214" t="s">
        <v>4842</v>
      </c>
      <c r="U199" s="214">
        <v>260</v>
      </c>
      <c r="V199" s="113">
        <v>263.19</v>
      </c>
      <c r="W199" s="113">
        <f t="shared" si="38"/>
        <v>68429.399999999994</v>
      </c>
      <c r="X199" s="99" t="s">
        <v>452</v>
      </c>
      <c r="AH199" s="99">
        <v>3</v>
      </c>
      <c r="AI199" s="99" t="s">
        <v>4130</v>
      </c>
      <c r="AJ199" s="117">
        <v>150000</v>
      </c>
      <c r="AK199" s="99">
        <v>3</v>
      </c>
      <c r="AL199" s="99">
        <f t="shared" si="41"/>
        <v>266</v>
      </c>
      <c r="AM199" s="99">
        <f t="shared" si="42"/>
        <v>39900000</v>
      </c>
      <c r="AN199" s="99"/>
    </row>
    <row r="200" spans="15:44">
      <c r="Q200" s="99" t="s">
        <v>4672</v>
      </c>
      <c r="R200" s="95">
        <v>6550580</v>
      </c>
      <c r="T200" s="214" t="s">
        <v>4856</v>
      </c>
      <c r="U200" s="214">
        <v>15257</v>
      </c>
      <c r="V200" s="113">
        <v>262.19018</v>
      </c>
      <c r="W200" s="113">
        <f t="shared" si="38"/>
        <v>4000235.57626</v>
      </c>
      <c r="X200" s="99" t="s">
        <v>452</v>
      </c>
      <c r="AH200" s="99">
        <v>4</v>
      </c>
      <c r="AI200" s="99" t="s">
        <v>4145</v>
      </c>
      <c r="AJ200" s="117">
        <v>-95000</v>
      </c>
      <c r="AK200" s="99">
        <v>8</v>
      </c>
      <c r="AL200" s="99">
        <f t="shared" si="41"/>
        <v>263</v>
      </c>
      <c r="AM200" s="99">
        <f t="shared" si="42"/>
        <v>-24985000</v>
      </c>
      <c r="AN200" s="99"/>
    </row>
    <row r="201" spans="15:44">
      <c r="Q201" s="99" t="s">
        <v>4675</v>
      </c>
      <c r="R201" s="95">
        <v>6650895</v>
      </c>
      <c r="T201" s="214" t="s">
        <v>4856</v>
      </c>
      <c r="U201" s="214">
        <v>8444</v>
      </c>
      <c r="V201" s="113">
        <v>266.43029999999999</v>
      </c>
      <c r="W201" s="113">
        <f t="shared" si="38"/>
        <v>2249737.4531999999</v>
      </c>
      <c r="X201" s="99" t="s">
        <v>452</v>
      </c>
      <c r="AH201" s="99">
        <v>5</v>
      </c>
      <c r="AI201" s="99" t="s">
        <v>4172</v>
      </c>
      <c r="AJ201" s="117">
        <v>3150000</v>
      </c>
      <c r="AK201" s="99">
        <v>16</v>
      </c>
      <c r="AL201" s="99">
        <f t="shared" si="41"/>
        <v>255</v>
      </c>
      <c r="AM201" s="99">
        <f t="shared" si="42"/>
        <v>803250000</v>
      </c>
      <c r="AN201" s="99"/>
      <c r="AQ201" t="s">
        <v>25</v>
      </c>
    </row>
    <row r="202" spans="15:44">
      <c r="Q202" s="99" t="s">
        <v>4699</v>
      </c>
      <c r="R202" s="95">
        <v>2145814</v>
      </c>
      <c r="T202" s="214" t="s">
        <v>4861</v>
      </c>
      <c r="U202" s="214">
        <v>-6209</v>
      </c>
      <c r="V202" s="113">
        <v>273.79649999999998</v>
      </c>
      <c r="W202" s="113">
        <f t="shared" si="38"/>
        <v>-1700002.4685</v>
      </c>
      <c r="X202" s="99" t="s">
        <v>4872</v>
      </c>
      <c r="AH202" s="99">
        <v>6</v>
      </c>
      <c r="AI202" s="99" t="s">
        <v>4241</v>
      </c>
      <c r="AJ202" s="117">
        <v>-65000</v>
      </c>
      <c r="AK202" s="99">
        <v>1</v>
      </c>
      <c r="AL202" s="99">
        <f t="shared" si="41"/>
        <v>239</v>
      </c>
      <c r="AM202" s="99">
        <f t="shared" si="42"/>
        <v>-15535000</v>
      </c>
      <c r="AN202" s="99"/>
    </row>
    <row r="203" spans="15:44">
      <c r="Q203" s="99" t="s">
        <v>4711</v>
      </c>
      <c r="R203" s="95">
        <v>4369730</v>
      </c>
      <c r="T203" s="214" t="s">
        <v>4861</v>
      </c>
      <c r="U203" s="214">
        <v>-8014</v>
      </c>
      <c r="V203" s="113">
        <v>273.79649999999998</v>
      </c>
      <c r="W203" s="113">
        <f t="shared" si="38"/>
        <v>-2194205.1510000001</v>
      </c>
      <c r="X203" s="99" t="s">
        <v>751</v>
      </c>
      <c r="AH203" s="99">
        <v>7</v>
      </c>
      <c r="AI203" s="99" t="s">
        <v>4315</v>
      </c>
      <c r="AJ203" s="117">
        <v>-95000</v>
      </c>
      <c r="AK203" s="99">
        <v>6</v>
      </c>
      <c r="AL203" s="99">
        <f t="shared" si="41"/>
        <v>238</v>
      </c>
      <c r="AM203" s="99">
        <f t="shared" si="42"/>
        <v>-22610000</v>
      </c>
      <c r="AN203" s="99"/>
    </row>
    <row r="204" spans="15:44">
      <c r="Q204" s="99" t="s">
        <v>4714</v>
      </c>
      <c r="R204" s="95">
        <v>8739459</v>
      </c>
      <c r="S204" t="s">
        <v>25</v>
      </c>
      <c r="T204" s="214" t="s">
        <v>4870</v>
      </c>
      <c r="U204" s="214">
        <v>-9176</v>
      </c>
      <c r="V204" s="113">
        <v>273.79649999999998</v>
      </c>
      <c r="W204" s="113">
        <f t="shared" si="38"/>
        <v>-2512356.6839999999</v>
      </c>
      <c r="X204" s="99" t="s">
        <v>452</v>
      </c>
      <c r="AH204" s="99">
        <v>8</v>
      </c>
      <c r="AI204" s="99" t="s">
        <v>4316</v>
      </c>
      <c r="AJ204" s="117">
        <v>232000</v>
      </c>
      <c r="AK204" s="99">
        <v>7</v>
      </c>
      <c r="AL204" s="99">
        <f t="shared" si="41"/>
        <v>232</v>
      </c>
      <c r="AM204" s="99">
        <f t="shared" si="42"/>
        <v>53824000</v>
      </c>
      <c r="AN204" s="99"/>
      <c r="AR204" t="s">
        <v>25</v>
      </c>
    </row>
    <row r="205" spans="15:44">
      <c r="Q205" s="99" t="s">
        <v>4723</v>
      </c>
      <c r="R205" s="95">
        <v>6667654</v>
      </c>
      <c r="T205" s="214" t="s">
        <v>4870</v>
      </c>
      <c r="U205" s="214">
        <v>1087</v>
      </c>
      <c r="V205" s="113">
        <v>273.79649999999998</v>
      </c>
      <c r="W205" s="113">
        <f t="shared" si="38"/>
        <v>297616.79550000001</v>
      </c>
      <c r="X205" s="99" t="s">
        <v>452</v>
      </c>
      <c r="AH205" s="99">
        <v>9</v>
      </c>
      <c r="AI205" s="99" t="s">
        <v>4292</v>
      </c>
      <c r="AJ205" s="117">
        <v>13000000</v>
      </c>
      <c r="AK205" s="99">
        <v>2</v>
      </c>
      <c r="AL205" s="99">
        <f t="shared" si="41"/>
        <v>225</v>
      </c>
      <c r="AM205" s="99">
        <f t="shared" si="42"/>
        <v>2925000000</v>
      </c>
      <c r="AN205" s="99"/>
    </row>
    <row r="206" spans="15:44">
      <c r="Q206" s="99" t="s">
        <v>4731</v>
      </c>
      <c r="R206" s="95">
        <v>8981245</v>
      </c>
      <c r="T206" s="214" t="s">
        <v>981</v>
      </c>
      <c r="U206" s="214">
        <v>-4017</v>
      </c>
      <c r="V206" s="113">
        <v>273.79649999999998</v>
      </c>
      <c r="W206" s="113">
        <f t="shared" si="38"/>
        <v>-1099840.5404999999</v>
      </c>
      <c r="X206" s="99" t="s">
        <v>4450</v>
      </c>
      <c r="AH206" s="99">
        <v>10</v>
      </c>
      <c r="AI206" s="99" t="s">
        <v>4317</v>
      </c>
      <c r="AJ206" s="117">
        <v>10000000</v>
      </c>
      <c r="AK206" s="99">
        <v>3</v>
      </c>
      <c r="AL206" s="99">
        <f t="shared" si="41"/>
        <v>223</v>
      </c>
      <c r="AM206" s="99">
        <f t="shared" si="42"/>
        <v>2230000000</v>
      </c>
      <c r="AN206" s="99"/>
    </row>
    <row r="207" spans="15:44">
      <c r="Q207" s="99" t="s">
        <v>4736</v>
      </c>
      <c r="R207" s="95">
        <v>9181756</v>
      </c>
      <c r="T207" s="214" t="s">
        <v>981</v>
      </c>
      <c r="U207" s="214">
        <v>4017</v>
      </c>
      <c r="V207" s="113">
        <v>273.79649999999998</v>
      </c>
      <c r="W207" s="113">
        <f t="shared" si="38"/>
        <v>1099840.5404999999</v>
      </c>
      <c r="X207" s="99" t="s">
        <v>452</v>
      </c>
      <c r="AH207" s="99">
        <v>11</v>
      </c>
      <c r="AI207" s="99" t="s">
        <v>4305</v>
      </c>
      <c r="AJ207" s="117">
        <v>3400000</v>
      </c>
      <c r="AK207" s="99">
        <v>9</v>
      </c>
      <c r="AL207" s="99">
        <f t="shared" si="41"/>
        <v>220</v>
      </c>
      <c r="AM207" s="99">
        <f t="shared" si="42"/>
        <v>748000000</v>
      </c>
      <c r="AN207" s="99"/>
      <c r="AR207" t="s">
        <v>25</v>
      </c>
    </row>
    <row r="208" spans="15:44">
      <c r="Q208" s="99" t="s">
        <v>4740</v>
      </c>
      <c r="R208" s="95">
        <v>11811208</v>
      </c>
      <c r="S208" t="s">
        <v>25</v>
      </c>
      <c r="T208" s="214" t="s">
        <v>4879</v>
      </c>
      <c r="U208" s="214">
        <v>3137</v>
      </c>
      <c r="V208" s="113">
        <v>283.69110000000001</v>
      </c>
      <c r="W208" s="113">
        <f t="shared" si="38"/>
        <v>889938.98070000007</v>
      </c>
      <c r="X208" s="99" t="s">
        <v>452</v>
      </c>
      <c r="AH208" s="99">
        <v>12</v>
      </c>
      <c r="AI208" s="99" t="s">
        <v>4347</v>
      </c>
      <c r="AJ208" s="117">
        <v>-8736514</v>
      </c>
      <c r="AK208" s="99">
        <v>1</v>
      </c>
      <c r="AL208" s="99">
        <f>AK208+AL209</f>
        <v>211</v>
      </c>
      <c r="AM208" s="99">
        <f t="shared" si="42"/>
        <v>-1843404454</v>
      </c>
      <c r="AN208" s="99"/>
    </row>
    <row r="209" spans="17:45">
      <c r="Q209" s="99" t="s">
        <v>4754</v>
      </c>
      <c r="R209" s="95">
        <v>41248054</v>
      </c>
      <c r="S209" t="s">
        <v>25</v>
      </c>
      <c r="T209" s="214" t="s">
        <v>4892</v>
      </c>
      <c r="U209" s="214">
        <v>101933</v>
      </c>
      <c r="V209" s="113">
        <v>294.30973999999998</v>
      </c>
      <c r="W209" s="113">
        <f t="shared" si="38"/>
        <v>29999874.727419998</v>
      </c>
      <c r="X209" s="99" t="s">
        <v>1087</v>
      </c>
      <c r="AH209" s="99">
        <v>13</v>
      </c>
      <c r="AI209" s="99" t="s">
        <v>4348</v>
      </c>
      <c r="AJ209" s="117">
        <v>555000</v>
      </c>
      <c r="AK209" s="99">
        <v>5</v>
      </c>
      <c r="AL209" s="99">
        <f t="shared" ref="AL209:AL225" si="43">AK209+AL210</f>
        <v>210</v>
      </c>
      <c r="AM209" s="99">
        <f t="shared" si="42"/>
        <v>116550000</v>
      </c>
      <c r="AN209" s="99"/>
      <c r="AP209" t="s">
        <v>25</v>
      </c>
    </row>
    <row r="210" spans="17:45">
      <c r="Q210" s="99" t="s">
        <v>4762</v>
      </c>
      <c r="R210" s="95">
        <v>37328780</v>
      </c>
      <c r="T210" s="214" t="s">
        <v>4903</v>
      </c>
      <c r="U210" s="214">
        <v>3407</v>
      </c>
      <c r="V210" s="113">
        <v>293.43799999999999</v>
      </c>
      <c r="W210" s="113">
        <f t="shared" si="38"/>
        <v>999743.26599999995</v>
      </c>
      <c r="X210" s="99" t="s">
        <v>452</v>
      </c>
      <c r="Z210" t="s">
        <v>25</v>
      </c>
      <c r="AH210" s="99">
        <v>14</v>
      </c>
      <c r="AI210" s="99" t="s">
        <v>4372</v>
      </c>
      <c r="AJ210" s="117">
        <v>-448308</v>
      </c>
      <c r="AK210" s="99">
        <v>6</v>
      </c>
      <c r="AL210" s="99">
        <f t="shared" si="43"/>
        <v>205</v>
      </c>
      <c r="AM210" s="99">
        <f t="shared" si="42"/>
        <v>-91903140</v>
      </c>
      <c r="AN210" s="99"/>
    </row>
    <row r="211" spans="17:45">
      <c r="Q211" s="99" t="s">
        <v>4861</v>
      </c>
      <c r="R211" s="95">
        <v>-2194100</v>
      </c>
      <c r="T211" s="214" t="s">
        <v>4904</v>
      </c>
      <c r="U211" s="214">
        <v>68796</v>
      </c>
      <c r="V211" s="113">
        <v>293.53250000000003</v>
      </c>
      <c r="W211" s="113">
        <f t="shared" si="38"/>
        <v>20193861.870000001</v>
      </c>
      <c r="X211" s="99" t="s">
        <v>751</v>
      </c>
      <c r="AH211" s="99">
        <v>15</v>
      </c>
      <c r="AI211" s="99" t="s">
        <v>4403</v>
      </c>
      <c r="AJ211" s="117">
        <v>33225</v>
      </c>
      <c r="AK211" s="99">
        <v>0</v>
      </c>
      <c r="AL211" s="99">
        <f t="shared" si="43"/>
        <v>199</v>
      </c>
      <c r="AM211" s="99">
        <f t="shared" si="42"/>
        <v>6611775</v>
      </c>
      <c r="AN211" s="99"/>
    </row>
    <row r="212" spans="17:45">
      <c r="Q212" s="99" t="s">
        <v>4904</v>
      </c>
      <c r="R212" s="95">
        <v>20193916</v>
      </c>
      <c r="T212" s="214" t="s">
        <v>4904</v>
      </c>
      <c r="U212" s="214">
        <v>154791</v>
      </c>
      <c r="V212" s="113">
        <v>293.53250000000003</v>
      </c>
      <c r="W212" s="113">
        <f t="shared" si="38"/>
        <v>45436189.207500003</v>
      </c>
      <c r="X212" s="99" t="s">
        <v>452</v>
      </c>
      <c r="AH212" s="149">
        <v>16</v>
      </c>
      <c r="AI212" s="149" t="s">
        <v>4403</v>
      </c>
      <c r="AJ212" s="189">
        <v>4098523</v>
      </c>
      <c r="AK212" s="149">
        <v>2</v>
      </c>
      <c r="AL212" s="149">
        <f t="shared" si="43"/>
        <v>199</v>
      </c>
      <c r="AM212" s="149">
        <f t="shared" si="42"/>
        <v>815606077</v>
      </c>
      <c r="AN212" s="149" t="s">
        <v>657</v>
      </c>
    </row>
    <row r="213" spans="17:45">
      <c r="Q213" s="99" t="s">
        <v>4987</v>
      </c>
      <c r="R213" s="95">
        <v>-2000000</v>
      </c>
      <c r="T213" s="214" t="s">
        <v>4904</v>
      </c>
      <c r="U213" s="214">
        <v>-11923</v>
      </c>
      <c r="V213" s="113">
        <v>293.53250000000003</v>
      </c>
      <c r="W213" s="113">
        <f t="shared" si="38"/>
        <v>-3499787.9975000005</v>
      </c>
      <c r="X213" s="99" t="s">
        <v>452</v>
      </c>
      <c r="AH213" s="149">
        <v>17</v>
      </c>
      <c r="AI213" s="149" t="s">
        <v>4416</v>
      </c>
      <c r="AJ213" s="189">
        <v>-1000000</v>
      </c>
      <c r="AK213" s="149">
        <v>7</v>
      </c>
      <c r="AL213" s="149">
        <f t="shared" si="43"/>
        <v>197</v>
      </c>
      <c r="AM213" s="149">
        <f t="shared" si="42"/>
        <v>-197000000</v>
      </c>
      <c r="AN213" s="149" t="s">
        <v>657</v>
      </c>
      <c r="AR213" t="s">
        <v>25</v>
      </c>
    </row>
    <row r="214" spans="17:45">
      <c r="Q214" s="99"/>
      <c r="R214" s="95"/>
      <c r="T214" s="214" t="s">
        <v>4921</v>
      </c>
      <c r="U214" s="214">
        <v>8424</v>
      </c>
      <c r="V214" s="113">
        <v>299.15170000000001</v>
      </c>
      <c r="W214" s="113">
        <f t="shared" si="38"/>
        <v>2520053.9208</v>
      </c>
      <c r="X214" s="99" t="s">
        <v>452</v>
      </c>
      <c r="AH214" s="149">
        <v>18</v>
      </c>
      <c r="AI214" s="149" t="s">
        <v>4439</v>
      </c>
      <c r="AJ214" s="189">
        <v>750000</v>
      </c>
      <c r="AK214" s="149">
        <v>1</v>
      </c>
      <c r="AL214" s="149">
        <f t="shared" si="43"/>
        <v>190</v>
      </c>
      <c r="AM214" s="149">
        <f t="shared" si="42"/>
        <v>142500000</v>
      </c>
      <c r="AN214" s="149" t="s">
        <v>657</v>
      </c>
      <c r="AQ214" t="s">
        <v>25</v>
      </c>
    </row>
    <row r="215" spans="17:45">
      <c r="Q215" s="99"/>
      <c r="R215" s="95">
        <f>SUM(R191:R214)</f>
        <v>424236275</v>
      </c>
      <c r="T215" s="214" t="s">
        <v>4958</v>
      </c>
      <c r="U215" s="214">
        <v>15943</v>
      </c>
      <c r="V215" s="113">
        <v>307.34415000000001</v>
      </c>
      <c r="W215" s="113">
        <f t="shared" si="38"/>
        <v>4899987.78345</v>
      </c>
      <c r="X215" s="99" t="s">
        <v>452</v>
      </c>
      <c r="AH215" s="196">
        <v>19</v>
      </c>
      <c r="AI215" s="196" t="s">
        <v>4441</v>
      </c>
      <c r="AJ215" s="197">
        <v>-604152</v>
      </c>
      <c r="AK215" s="196">
        <v>0</v>
      </c>
      <c r="AL215" s="196">
        <f t="shared" si="43"/>
        <v>189</v>
      </c>
      <c r="AM215" s="196">
        <f t="shared" si="42"/>
        <v>-114184728</v>
      </c>
      <c r="AN215" s="196" t="s">
        <v>657</v>
      </c>
    </row>
    <row r="216" spans="17:45">
      <c r="Q216" s="99"/>
      <c r="R216" s="99" t="s">
        <v>6</v>
      </c>
      <c r="T216" s="214" t="s">
        <v>4981</v>
      </c>
      <c r="U216" s="214">
        <v>3741</v>
      </c>
      <c r="V216" s="113">
        <v>307.34415000000001</v>
      </c>
      <c r="W216" s="113">
        <f t="shared" si="38"/>
        <v>1149774.4651500001</v>
      </c>
      <c r="X216" s="99" t="s">
        <v>452</v>
      </c>
      <c r="AH216" s="99">
        <v>20</v>
      </c>
      <c r="AI216" s="99" t="s">
        <v>4442</v>
      </c>
      <c r="AJ216" s="117">
        <v>-587083</v>
      </c>
      <c r="AK216" s="99">
        <v>4</v>
      </c>
      <c r="AL216" s="99">
        <f t="shared" si="43"/>
        <v>189</v>
      </c>
      <c r="AM216" s="99">
        <f t="shared" si="42"/>
        <v>-110958687</v>
      </c>
      <c r="AN216" s="99"/>
    </row>
    <row r="217" spans="17:45">
      <c r="S217" t="s">
        <v>25</v>
      </c>
      <c r="T217" s="214" t="s">
        <v>4987</v>
      </c>
      <c r="U217" s="214">
        <v>-6207</v>
      </c>
      <c r="V217" s="113">
        <v>322.214</v>
      </c>
      <c r="W217" s="113">
        <f t="shared" si="38"/>
        <v>-1999982.298</v>
      </c>
      <c r="X217" s="99" t="s">
        <v>751</v>
      </c>
      <c r="AH217" s="196">
        <v>21</v>
      </c>
      <c r="AI217" s="196" t="s">
        <v>4443</v>
      </c>
      <c r="AJ217" s="197">
        <v>-754351</v>
      </c>
      <c r="AK217" s="196">
        <v>0</v>
      </c>
      <c r="AL217" s="149">
        <f t="shared" si="43"/>
        <v>185</v>
      </c>
      <c r="AM217" s="196">
        <f t="shared" si="42"/>
        <v>-139554935</v>
      </c>
      <c r="AN217" s="196" t="s">
        <v>657</v>
      </c>
    </row>
    <row r="218" spans="17:45">
      <c r="T218" s="214" t="s">
        <v>4987</v>
      </c>
      <c r="U218" s="214">
        <v>6207</v>
      </c>
      <c r="V218" s="113">
        <v>322.214</v>
      </c>
      <c r="W218" s="113">
        <f t="shared" si="38"/>
        <v>1999982.298</v>
      </c>
      <c r="X218" s="99" t="s">
        <v>4450</v>
      </c>
      <c r="AH218" s="99">
        <v>22</v>
      </c>
      <c r="AI218" s="99" t="s">
        <v>4443</v>
      </c>
      <c r="AJ218" s="117">
        <v>-189619</v>
      </c>
      <c r="AK218" s="99">
        <v>15</v>
      </c>
      <c r="AL218" s="99">
        <f t="shared" si="43"/>
        <v>185</v>
      </c>
      <c r="AM218" s="99">
        <f t="shared" si="42"/>
        <v>-35079515</v>
      </c>
      <c r="AN218" s="99"/>
      <c r="AS218" t="s">
        <v>25</v>
      </c>
    </row>
    <row r="219" spans="17:45">
      <c r="Q219" s="99" t="s">
        <v>452</v>
      </c>
      <c r="R219" s="99"/>
      <c r="T219" s="214" t="s">
        <v>4930</v>
      </c>
      <c r="U219" s="214">
        <v>776</v>
      </c>
      <c r="V219" s="113">
        <v>322.214</v>
      </c>
      <c r="W219" s="113">
        <f t="shared" si="38"/>
        <v>250038.06400000001</v>
      </c>
      <c r="X219" s="99" t="s">
        <v>452</v>
      </c>
      <c r="AH219" s="196">
        <v>23</v>
      </c>
      <c r="AI219" s="196" t="s">
        <v>4515</v>
      </c>
      <c r="AJ219" s="189">
        <v>7100</v>
      </c>
      <c r="AK219" s="196">
        <v>0</v>
      </c>
      <c r="AL219" s="149">
        <f t="shared" si="43"/>
        <v>170</v>
      </c>
      <c r="AM219" s="196">
        <f t="shared" si="42"/>
        <v>1207000</v>
      </c>
      <c r="AN219" s="196" t="s">
        <v>657</v>
      </c>
    </row>
    <row r="220" spans="17:45">
      <c r="Q220" s="99" t="s">
        <v>4443</v>
      </c>
      <c r="R220" s="95">
        <v>63115000</v>
      </c>
      <c r="T220" s="214" t="s">
        <v>5020</v>
      </c>
      <c r="U220" s="214">
        <v>1524</v>
      </c>
      <c r="V220" s="113">
        <v>314.95999999999998</v>
      </c>
      <c r="W220" s="113">
        <f t="shared" si="38"/>
        <v>479999.04</v>
      </c>
      <c r="X220" s="99" t="s">
        <v>1087</v>
      </c>
      <c r="AH220" s="20">
        <v>24</v>
      </c>
      <c r="AI220" s="20" t="s">
        <v>4515</v>
      </c>
      <c r="AJ220" s="117">
        <v>-147902</v>
      </c>
      <c r="AK220" s="20">
        <v>3</v>
      </c>
      <c r="AL220" s="99">
        <f t="shared" si="43"/>
        <v>170</v>
      </c>
      <c r="AM220" s="20">
        <f t="shared" si="42"/>
        <v>-25143340</v>
      </c>
      <c r="AN220" s="20"/>
    </row>
    <row r="221" spans="17:45">
      <c r="Q221" s="99" t="s">
        <v>4497</v>
      </c>
      <c r="R221" s="95">
        <v>13300000</v>
      </c>
      <c r="T221" s="214" t="s">
        <v>5029</v>
      </c>
      <c r="U221" s="214">
        <v>4435</v>
      </c>
      <c r="V221" s="113">
        <v>316.4375</v>
      </c>
      <c r="W221" s="113">
        <f t="shared" si="38"/>
        <v>1403400.3125</v>
      </c>
      <c r="X221" s="99" t="s">
        <v>452</v>
      </c>
      <c r="AH221" s="149">
        <v>25</v>
      </c>
      <c r="AI221" s="149" t="s">
        <v>4523</v>
      </c>
      <c r="AJ221" s="189">
        <v>-37200</v>
      </c>
      <c r="AK221" s="149">
        <v>4</v>
      </c>
      <c r="AL221" s="149">
        <f t="shared" si="43"/>
        <v>167</v>
      </c>
      <c r="AM221" s="196">
        <f t="shared" si="42"/>
        <v>-6212400</v>
      </c>
      <c r="AN221" s="149" t="s">
        <v>657</v>
      </c>
    </row>
    <row r="222" spans="17:45">
      <c r="Q222" s="99" t="s">
        <v>4505</v>
      </c>
      <c r="R222" s="95">
        <v>2269000</v>
      </c>
      <c r="T222" s="214" t="s">
        <v>5037</v>
      </c>
      <c r="U222" s="214">
        <v>624</v>
      </c>
      <c r="V222" s="113">
        <v>320.5</v>
      </c>
      <c r="W222" s="113">
        <f t="shared" si="38"/>
        <v>199992</v>
      </c>
      <c r="X222" s="99" t="s">
        <v>452</v>
      </c>
      <c r="AH222" s="99">
        <v>26</v>
      </c>
      <c r="AI222" s="99" t="s">
        <v>4554</v>
      </c>
      <c r="AJ222" s="117">
        <v>-372326</v>
      </c>
      <c r="AK222" s="99">
        <v>21</v>
      </c>
      <c r="AL222" s="99">
        <f t="shared" si="43"/>
        <v>163</v>
      </c>
      <c r="AM222" s="20">
        <f t="shared" si="42"/>
        <v>-60689138</v>
      </c>
      <c r="AN222" s="99"/>
    </row>
    <row r="223" spans="17:45">
      <c r="Q223" s="99" t="s">
        <v>4620</v>
      </c>
      <c r="R223" s="95">
        <v>25071612</v>
      </c>
      <c r="T223" s="214" t="s">
        <v>5045</v>
      </c>
      <c r="U223" s="214">
        <v>1086</v>
      </c>
      <c r="V223" s="113">
        <v>317.55</v>
      </c>
      <c r="W223" s="113">
        <f t="shared" si="38"/>
        <v>344859.3</v>
      </c>
      <c r="X223" s="99" t="s">
        <v>452</v>
      </c>
      <c r="AH223" s="99">
        <v>27</v>
      </c>
      <c r="AI223" s="99" t="s">
        <v>4606</v>
      </c>
      <c r="AJ223" s="117">
        <v>235062</v>
      </c>
      <c r="AK223" s="99">
        <v>0</v>
      </c>
      <c r="AL223" s="99">
        <f t="shared" si="43"/>
        <v>142</v>
      </c>
      <c r="AM223" s="20">
        <f t="shared" si="42"/>
        <v>33378804</v>
      </c>
      <c r="AN223" s="99"/>
    </row>
    <row r="224" spans="17:45">
      <c r="Q224" s="99" t="s">
        <v>4629</v>
      </c>
      <c r="R224" s="95">
        <v>42236984</v>
      </c>
      <c r="T224" s="214" t="s">
        <v>5052</v>
      </c>
      <c r="U224" s="214">
        <v>2820</v>
      </c>
      <c r="V224" s="113">
        <v>319.1096</v>
      </c>
      <c r="W224" s="113">
        <f t="shared" si="38"/>
        <v>899889.07200000004</v>
      </c>
      <c r="X224" s="99" t="s">
        <v>452</v>
      </c>
      <c r="Z224" t="s">
        <v>25</v>
      </c>
      <c r="AH224" s="149">
        <v>28</v>
      </c>
      <c r="AI224" s="149" t="s">
        <v>4606</v>
      </c>
      <c r="AJ224" s="189">
        <v>235062</v>
      </c>
      <c r="AK224" s="149">
        <v>9</v>
      </c>
      <c r="AL224" s="99">
        <f t="shared" si="43"/>
        <v>142</v>
      </c>
      <c r="AM224" s="149">
        <f t="shared" si="42"/>
        <v>33378804</v>
      </c>
      <c r="AN224" s="149" t="s">
        <v>657</v>
      </c>
    </row>
    <row r="225" spans="17:44">
      <c r="Q225" s="99" t="s">
        <v>4631</v>
      </c>
      <c r="R225" s="95">
        <v>19663646</v>
      </c>
      <c r="T225" s="214" t="s">
        <v>5056</v>
      </c>
      <c r="U225" s="214">
        <v>1145</v>
      </c>
      <c r="V225" s="113">
        <v>325.44</v>
      </c>
      <c r="W225" s="113">
        <f t="shared" si="38"/>
        <v>372628.8</v>
      </c>
      <c r="X225" s="99" t="s">
        <v>452</v>
      </c>
      <c r="AH225" s="149">
        <v>29</v>
      </c>
      <c r="AI225" s="149" t="s">
        <v>4631</v>
      </c>
      <c r="AJ225" s="189">
        <v>450000</v>
      </c>
      <c r="AK225" s="149">
        <v>0</v>
      </c>
      <c r="AL225" s="99">
        <f t="shared" si="43"/>
        <v>133</v>
      </c>
      <c r="AM225" s="149">
        <f t="shared" si="42"/>
        <v>59850000</v>
      </c>
      <c r="AN225" s="149" t="s">
        <v>657</v>
      </c>
    </row>
    <row r="226" spans="17:44">
      <c r="Q226" s="99" t="s">
        <v>4657</v>
      </c>
      <c r="R226" s="95">
        <v>4374525</v>
      </c>
      <c r="T226" s="214" t="s">
        <v>5070</v>
      </c>
      <c r="U226" s="214">
        <v>20153</v>
      </c>
      <c r="V226" s="113">
        <v>322</v>
      </c>
      <c r="W226" s="113">
        <f t="shared" si="38"/>
        <v>6489266</v>
      </c>
      <c r="X226" s="99" t="s">
        <v>452</v>
      </c>
      <c r="Y226" t="s">
        <v>25</v>
      </c>
      <c r="AH226" s="20">
        <v>30</v>
      </c>
      <c r="AI226" s="20" t="s">
        <v>4631</v>
      </c>
      <c r="AJ226" s="117">
        <v>450000</v>
      </c>
      <c r="AK226" s="20">
        <v>22</v>
      </c>
      <c r="AL226" s="99">
        <f>AK226+AL227</f>
        <v>133</v>
      </c>
      <c r="AM226" s="20">
        <f t="shared" si="42"/>
        <v>59850000</v>
      </c>
      <c r="AN226" s="20"/>
    </row>
    <row r="227" spans="17:44">
      <c r="Q227" s="99" t="s">
        <v>4672</v>
      </c>
      <c r="R227" s="95">
        <v>6550580</v>
      </c>
      <c r="T227" s="214"/>
      <c r="U227" s="214"/>
      <c r="V227" s="113"/>
      <c r="W227" s="113"/>
      <c r="X227" s="99"/>
      <c r="AH227" s="149">
        <v>31</v>
      </c>
      <c r="AI227" s="149" t="s">
        <v>4714</v>
      </c>
      <c r="AJ227" s="189">
        <v>300000</v>
      </c>
      <c r="AK227" s="149">
        <v>0</v>
      </c>
      <c r="AL227" s="149">
        <f t="shared" ref="AL227:AL242" si="44">AK227+AL228</f>
        <v>111</v>
      </c>
      <c r="AM227" s="149">
        <f t="shared" ref="AM227:AM230" si="45">AJ227*AL227</f>
        <v>33300000</v>
      </c>
      <c r="AN227" s="149"/>
    </row>
    <row r="228" spans="17:44" ht="30">
      <c r="Q228" s="99" t="s">
        <v>4675</v>
      </c>
      <c r="R228" s="95">
        <v>7054895</v>
      </c>
      <c r="T228" s="168"/>
      <c r="U228" s="168"/>
      <c r="V228" s="113"/>
      <c r="W228" s="113"/>
      <c r="X228" s="99"/>
      <c r="Y228" s="96"/>
      <c r="AH228" s="121">
        <v>32</v>
      </c>
      <c r="AI228" s="121" t="s">
        <v>4714</v>
      </c>
      <c r="AJ228" s="79">
        <v>288936</v>
      </c>
      <c r="AK228" s="121">
        <v>3</v>
      </c>
      <c r="AL228" s="121">
        <f t="shared" si="44"/>
        <v>111</v>
      </c>
      <c r="AM228" s="121">
        <f t="shared" si="45"/>
        <v>32071896</v>
      </c>
      <c r="AN228" s="206" t="s">
        <v>4725</v>
      </c>
    </row>
    <row r="229" spans="17:44">
      <c r="Q229" s="99" t="s">
        <v>4699</v>
      </c>
      <c r="R229" s="95">
        <v>2145814</v>
      </c>
      <c r="T229" s="168"/>
      <c r="U229" s="168">
        <f>SUM(U153:U228)</f>
        <v>3589457</v>
      </c>
      <c r="V229" s="99"/>
      <c r="W229" s="99"/>
      <c r="X229" s="99"/>
      <c r="Y229" t="s">
        <v>25</v>
      </c>
      <c r="AH229" s="121">
        <v>33</v>
      </c>
      <c r="AI229" s="121" t="s">
        <v>4723</v>
      </c>
      <c r="AJ229" s="79">
        <v>17962491</v>
      </c>
      <c r="AK229" s="121">
        <v>1</v>
      </c>
      <c r="AL229" s="121">
        <f t="shared" si="44"/>
        <v>108</v>
      </c>
      <c r="AM229" s="121">
        <f t="shared" si="45"/>
        <v>1939949028</v>
      </c>
      <c r="AN229" s="121" t="s">
        <v>4730</v>
      </c>
    </row>
    <row r="230" spans="17:44">
      <c r="Q230" s="99" t="s">
        <v>4711</v>
      </c>
      <c r="R230" s="95">
        <v>4369730</v>
      </c>
      <c r="T230" s="99"/>
      <c r="U230" s="99" t="s">
        <v>6</v>
      </c>
      <c r="V230" s="99"/>
      <c r="W230" s="99"/>
      <c r="X230" s="99"/>
      <c r="AH230" s="121">
        <v>34</v>
      </c>
      <c r="AI230" s="121" t="s">
        <v>3684</v>
      </c>
      <c r="AJ230" s="79">
        <v>18363511</v>
      </c>
      <c r="AK230" s="121">
        <v>1</v>
      </c>
      <c r="AL230" s="121">
        <f t="shared" si="44"/>
        <v>107</v>
      </c>
      <c r="AM230" s="121">
        <f t="shared" si="45"/>
        <v>1964895677</v>
      </c>
      <c r="AN230" s="121" t="s">
        <v>4730</v>
      </c>
      <c r="AQ230" t="s">
        <v>25</v>
      </c>
    </row>
    <row r="231" spans="17:44">
      <c r="Q231" s="99" t="s">
        <v>4714</v>
      </c>
      <c r="R231" s="95">
        <v>8739459</v>
      </c>
      <c r="T231" s="201" t="s">
        <v>4487</v>
      </c>
      <c r="AH231" s="121">
        <v>35</v>
      </c>
      <c r="AI231" s="121" t="s">
        <v>4736</v>
      </c>
      <c r="AJ231" s="79">
        <v>23622417</v>
      </c>
      <c r="AK231" s="121">
        <v>5</v>
      </c>
      <c r="AL231" s="121">
        <f t="shared" si="44"/>
        <v>106</v>
      </c>
      <c r="AM231" s="121">
        <f t="shared" ref="AM231:AM234" si="46">AJ231*AL231</f>
        <v>2503976202</v>
      </c>
      <c r="AN231" s="121" t="s">
        <v>4739</v>
      </c>
    </row>
    <row r="232" spans="17:44">
      <c r="Q232" s="99" t="s">
        <v>4723</v>
      </c>
      <c r="R232" s="95">
        <v>6667654</v>
      </c>
      <c r="T232" s="200">
        <f>R163/U229</f>
        <v>326.64483661456313</v>
      </c>
      <c r="AH232" s="121">
        <v>36</v>
      </c>
      <c r="AI232" s="121" t="s">
        <v>4752</v>
      </c>
      <c r="AJ232" s="79">
        <v>82496108</v>
      </c>
      <c r="AK232" s="121">
        <v>1</v>
      </c>
      <c r="AL232" s="121">
        <f t="shared" si="44"/>
        <v>101</v>
      </c>
      <c r="AM232" s="121">
        <f t="shared" si="46"/>
        <v>8332106908</v>
      </c>
      <c r="AN232" s="121" t="s">
        <v>4755</v>
      </c>
    </row>
    <row r="233" spans="17:44">
      <c r="Q233" s="99" t="s">
        <v>3684</v>
      </c>
      <c r="R233" s="95">
        <v>8981245</v>
      </c>
      <c r="W233" s="114"/>
      <c r="AH233" s="121">
        <v>37</v>
      </c>
      <c r="AI233" s="121" t="s">
        <v>4754</v>
      </c>
      <c r="AJ233" s="79">
        <v>74657561</v>
      </c>
      <c r="AK233" s="121">
        <v>16</v>
      </c>
      <c r="AL233" s="121">
        <f t="shared" si="44"/>
        <v>100</v>
      </c>
      <c r="AM233" s="121">
        <f t="shared" si="46"/>
        <v>7465756100</v>
      </c>
      <c r="AN233" s="121" t="s">
        <v>4761</v>
      </c>
    </row>
    <row r="234" spans="17:44">
      <c r="Q234" s="99" t="s">
        <v>4736</v>
      </c>
      <c r="R234" s="95">
        <v>9181756</v>
      </c>
      <c r="U234" s="96" t="s">
        <v>267</v>
      </c>
      <c r="V234" t="s">
        <v>4488</v>
      </c>
      <c r="X234" t="s">
        <v>25</v>
      </c>
      <c r="AH234" s="99">
        <v>38</v>
      </c>
      <c r="AI234" s="99" t="s">
        <v>4842</v>
      </c>
      <c r="AJ234" s="117">
        <v>665000</v>
      </c>
      <c r="AK234" s="99">
        <v>0</v>
      </c>
      <c r="AL234" s="99">
        <f t="shared" si="44"/>
        <v>84</v>
      </c>
      <c r="AM234" s="20">
        <f t="shared" si="46"/>
        <v>55860000</v>
      </c>
      <c r="AN234" s="99"/>
    </row>
    <row r="235" spans="17:44">
      <c r="Q235" s="99" t="s">
        <v>4740</v>
      </c>
      <c r="R235" s="95">
        <v>11811208</v>
      </c>
      <c r="T235" s="114"/>
      <c r="U235" s="113">
        <v>60000</v>
      </c>
      <c r="V235">
        <f>U235/T232</f>
        <v>183.68574449808082</v>
      </c>
      <c r="X235" t="s">
        <v>25</v>
      </c>
      <c r="AH235" s="149">
        <v>39</v>
      </c>
      <c r="AI235" s="149" t="s">
        <v>4842</v>
      </c>
      <c r="AJ235" s="189">
        <v>665000</v>
      </c>
      <c r="AK235" s="149">
        <v>4</v>
      </c>
      <c r="AL235" s="196">
        <f t="shared" si="44"/>
        <v>84</v>
      </c>
      <c r="AM235" s="196">
        <f t="shared" ref="AM235:AM236" si="47">AJ235*AL235</f>
        <v>55860000</v>
      </c>
      <c r="AN235" s="196"/>
    </row>
    <row r="236" spans="17:44">
      <c r="Q236" s="99" t="s">
        <v>4754</v>
      </c>
      <c r="R236" s="95">
        <v>41248054</v>
      </c>
      <c r="X236" t="s">
        <v>25</v>
      </c>
      <c r="AH236" s="20">
        <v>40</v>
      </c>
      <c r="AI236" s="20" t="s">
        <v>4856</v>
      </c>
      <c r="AJ236" s="117">
        <v>2000000</v>
      </c>
      <c r="AK236" s="20">
        <v>1</v>
      </c>
      <c r="AL236" s="99">
        <f t="shared" si="44"/>
        <v>80</v>
      </c>
      <c r="AM236" s="20">
        <f t="shared" si="47"/>
        <v>160000000</v>
      </c>
      <c r="AN236" s="99"/>
    </row>
    <row r="237" spans="17:44">
      <c r="Q237" s="99" t="s">
        <v>4762</v>
      </c>
      <c r="R237" s="95">
        <v>37328780</v>
      </c>
      <c r="W237" s="224"/>
      <c r="X237" s="96" t="s">
        <v>25</v>
      </c>
      <c r="AH237" s="20">
        <v>41</v>
      </c>
      <c r="AI237" s="20" t="s">
        <v>4861</v>
      </c>
      <c r="AJ237" s="117">
        <v>-2060725</v>
      </c>
      <c r="AK237" s="20">
        <v>0</v>
      </c>
      <c r="AL237" s="99">
        <f t="shared" si="44"/>
        <v>79</v>
      </c>
      <c r="AM237" s="20">
        <f t="shared" ref="AM237:AM242" si="48">AJ237*AL237</f>
        <v>-162797275</v>
      </c>
      <c r="AN237" s="99" t="s">
        <v>4862</v>
      </c>
    </row>
    <row r="238" spans="17:44">
      <c r="Q238" s="99" t="s">
        <v>4770</v>
      </c>
      <c r="R238" s="95">
        <v>50000000</v>
      </c>
      <c r="X238" t="s">
        <v>25</v>
      </c>
      <c r="AH238" s="149">
        <v>42</v>
      </c>
      <c r="AI238" s="149" t="s">
        <v>4861</v>
      </c>
      <c r="AJ238" s="189">
        <v>-433375</v>
      </c>
      <c r="AK238" s="149">
        <v>0</v>
      </c>
      <c r="AL238" s="149">
        <f t="shared" si="44"/>
        <v>79</v>
      </c>
      <c r="AM238" s="149">
        <f t="shared" si="48"/>
        <v>-34236625</v>
      </c>
      <c r="AN238" s="149" t="s">
        <v>4863</v>
      </c>
      <c r="AR238" t="s">
        <v>25</v>
      </c>
    </row>
    <row r="239" spans="17:44">
      <c r="Q239" s="99" t="s">
        <v>4842</v>
      </c>
      <c r="R239" s="95">
        <v>68656</v>
      </c>
      <c r="X239" t="s">
        <v>25</v>
      </c>
      <c r="AH239" s="20">
        <v>43</v>
      </c>
      <c r="AI239" s="20" t="s">
        <v>4861</v>
      </c>
      <c r="AJ239" s="117">
        <v>28000000</v>
      </c>
      <c r="AK239" s="20">
        <v>1</v>
      </c>
      <c r="AL239" s="99">
        <f t="shared" si="44"/>
        <v>79</v>
      </c>
      <c r="AM239" s="20">
        <f t="shared" si="48"/>
        <v>2212000000</v>
      </c>
      <c r="AN239" s="99" t="s">
        <v>3891</v>
      </c>
      <c r="AR239" t="s">
        <v>25</v>
      </c>
    </row>
    <row r="240" spans="17:44" ht="60">
      <c r="Q240" s="99" t="s">
        <v>4856</v>
      </c>
      <c r="R240" s="95">
        <v>4000236</v>
      </c>
      <c r="T240" s="22" t="s">
        <v>4471</v>
      </c>
      <c r="V240" s="224"/>
      <c r="AH240" s="20">
        <v>44</v>
      </c>
      <c r="AI240" s="20" t="s">
        <v>4870</v>
      </c>
      <c r="AJ240" s="117">
        <v>160000</v>
      </c>
      <c r="AK240" s="20">
        <v>0</v>
      </c>
      <c r="AL240" s="99">
        <f t="shared" si="44"/>
        <v>78</v>
      </c>
      <c r="AM240" s="20">
        <f t="shared" si="48"/>
        <v>12480000</v>
      </c>
      <c r="AN240" s="99"/>
    </row>
    <row r="241" spans="17:43" ht="45">
      <c r="Q241" s="99" t="s">
        <v>4856</v>
      </c>
      <c r="R241" s="95">
        <v>2250000</v>
      </c>
      <c r="T241" s="22" t="s">
        <v>4472</v>
      </c>
      <c r="AH241" s="149">
        <v>45</v>
      </c>
      <c r="AI241" s="149" t="s">
        <v>4870</v>
      </c>
      <c r="AJ241" s="189">
        <v>70000</v>
      </c>
      <c r="AK241" s="149">
        <v>9</v>
      </c>
      <c r="AL241" s="149">
        <f t="shared" si="44"/>
        <v>78</v>
      </c>
      <c r="AM241" s="149">
        <f t="shared" si="48"/>
        <v>5460000</v>
      </c>
      <c r="AN241" s="149"/>
    </row>
    <row r="242" spans="17:43">
      <c r="Q242" s="99" t="s">
        <v>4861</v>
      </c>
      <c r="R242" s="95">
        <v>-2512200</v>
      </c>
      <c r="AH242" s="20">
        <v>46</v>
      </c>
      <c r="AI242" s="20" t="s">
        <v>4879</v>
      </c>
      <c r="AJ242" s="117">
        <v>850000</v>
      </c>
      <c r="AK242" s="20">
        <v>0</v>
      </c>
      <c r="AL242" s="99">
        <f t="shared" si="44"/>
        <v>69</v>
      </c>
      <c r="AM242" s="20">
        <f t="shared" si="48"/>
        <v>58650000</v>
      </c>
      <c r="AN242" s="99"/>
    </row>
    <row r="243" spans="17:43">
      <c r="Q243" s="99" t="s">
        <v>4870</v>
      </c>
      <c r="R243" s="95">
        <v>300000</v>
      </c>
      <c r="AH243" s="196">
        <v>47</v>
      </c>
      <c r="AI243" s="196" t="s">
        <v>4879</v>
      </c>
      <c r="AJ243" s="197">
        <v>20000</v>
      </c>
      <c r="AK243" s="196">
        <v>4</v>
      </c>
      <c r="AL243" s="196">
        <f t="shared" ref="AL243:AL264" si="49">AK243+AL244</f>
        <v>69</v>
      </c>
      <c r="AM243" s="196">
        <f t="shared" ref="AM243:AM264" si="50">AJ243*AL243</f>
        <v>1380000</v>
      </c>
      <c r="AN243" s="196"/>
    </row>
    <row r="244" spans="17:43">
      <c r="Q244" s="99" t="s">
        <v>981</v>
      </c>
      <c r="R244" s="95">
        <v>1100000</v>
      </c>
      <c r="T244" s="99" t="s">
        <v>4489</v>
      </c>
      <c r="U244" s="99" t="s">
        <v>4460</v>
      </c>
      <c r="V244" s="99" t="s">
        <v>953</v>
      </c>
      <c r="AH244" s="196">
        <v>48</v>
      </c>
      <c r="AI244" s="196" t="s">
        <v>4892</v>
      </c>
      <c r="AJ244" s="197">
        <v>30000000</v>
      </c>
      <c r="AK244" s="196">
        <v>27</v>
      </c>
      <c r="AL244" s="196">
        <f t="shared" si="49"/>
        <v>65</v>
      </c>
      <c r="AM244" s="196">
        <f t="shared" si="50"/>
        <v>1950000000</v>
      </c>
      <c r="AN244" s="196" t="s">
        <v>4894</v>
      </c>
    </row>
    <row r="245" spans="17:43">
      <c r="Q245" s="99" t="s">
        <v>4879</v>
      </c>
      <c r="R245" s="95">
        <v>890000</v>
      </c>
      <c r="T245" s="95">
        <f>S184+R215+R260</f>
        <v>899589559</v>
      </c>
      <c r="U245" s="95">
        <f>R163</f>
        <v>1172477595.3</v>
      </c>
      <c r="V245" s="95">
        <f>U245-T245</f>
        <v>272888036.29999995</v>
      </c>
      <c r="AH245" s="20">
        <v>49</v>
      </c>
      <c r="AI245" s="20" t="s">
        <v>4981</v>
      </c>
      <c r="AJ245" s="117">
        <v>1100000</v>
      </c>
      <c r="AK245" s="20">
        <v>1</v>
      </c>
      <c r="AL245" s="20">
        <f t="shared" si="49"/>
        <v>38</v>
      </c>
      <c r="AM245" s="20">
        <f t="shared" si="50"/>
        <v>41800000</v>
      </c>
      <c r="AN245" s="20"/>
    </row>
    <row r="246" spans="17:43">
      <c r="Q246" s="99" t="s">
        <v>4903</v>
      </c>
      <c r="R246" s="95">
        <v>1000000</v>
      </c>
      <c r="AH246" s="20">
        <v>50</v>
      </c>
      <c r="AI246" s="20" t="s">
        <v>4983</v>
      </c>
      <c r="AJ246" s="117">
        <v>450000</v>
      </c>
      <c r="AK246" s="20">
        <v>0</v>
      </c>
      <c r="AL246" s="20">
        <f t="shared" si="49"/>
        <v>37</v>
      </c>
      <c r="AM246" s="20">
        <f t="shared" si="50"/>
        <v>16650000</v>
      </c>
      <c r="AN246" s="20"/>
    </row>
    <row r="247" spans="17:43">
      <c r="Q247" s="99" t="s">
        <v>4904</v>
      </c>
      <c r="R247" s="95">
        <v>45436311</v>
      </c>
      <c r="AH247" s="149">
        <v>51</v>
      </c>
      <c r="AI247" s="149" t="s">
        <v>4983</v>
      </c>
      <c r="AJ247" s="189">
        <v>550000</v>
      </c>
      <c r="AK247" s="149">
        <v>1</v>
      </c>
      <c r="AL247" s="149">
        <f t="shared" si="49"/>
        <v>37</v>
      </c>
      <c r="AM247" s="149">
        <f t="shared" si="50"/>
        <v>20350000</v>
      </c>
      <c r="AN247" s="149"/>
    </row>
    <row r="248" spans="17:43">
      <c r="Q248" s="99" t="s">
        <v>4904</v>
      </c>
      <c r="R248" s="95">
        <v>-3500000</v>
      </c>
      <c r="AH248" s="149">
        <v>52</v>
      </c>
      <c r="AI248" s="149" t="s">
        <v>4985</v>
      </c>
      <c r="AJ248" s="189">
        <v>1000000</v>
      </c>
      <c r="AK248" s="149">
        <v>8</v>
      </c>
      <c r="AL248" s="149">
        <f t="shared" si="49"/>
        <v>36</v>
      </c>
      <c r="AM248" s="149">
        <f t="shared" si="50"/>
        <v>36000000</v>
      </c>
      <c r="AN248" s="149"/>
    </row>
    <row r="249" spans="17:43">
      <c r="Q249" s="99" t="s">
        <v>4921</v>
      </c>
      <c r="R249" s="95">
        <v>2520000</v>
      </c>
      <c r="AH249" s="20">
        <v>53</v>
      </c>
      <c r="AI249" s="20" t="s">
        <v>4995</v>
      </c>
      <c r="AJ249" s="117">
        <v>-2668880</v>
      </c>
      <c r="AK249" s="20">
        <v>0</v>
      </c>
      <c r="AL249" s="20">
        <f t="shared" si="49"/>
        <v>28</v>
      </c>
      <c r="AM249" s="20">
        <f t="shared" si="50"/>
        <v>-74728640</v>
      </c>
      <c r="AN249" s="20" t="s">
        <v>4997</v>
      </c>
      <c r="AP249" t="s">
        <v>25</v>
      </c>
    </row>
    <row r="250" spans="17:43">
      <c r="Q250" s="99" t="s">
        <v>4958</v>
      </c>
      <c r="R250" s="95">
        <v>4900000</v>
      </c>
      <c r="T250" t="s">
        <v>25</v>
      </c>
      <c r="Y250" t="s">
        <v>25</v>
      </c>
      <c r="AH250" s="149">
        <v>54</v>
      </c>
      <c r="AI250" s="149" t="s">
        <v>4995</v>
      </c>
      <c r="AJ250" s="189">
        <v>-1528620</v>
      </c>
      <c r="AK250" s="149">
        <v>0</v>
      </c>
      <c r="AL250" s="149">
        <f t="shared" si="49"/>
        <v>28</v>
      </c>
      <c r="AM250" s="149">
        <f t="shared" si="50"/>
        <v>-42801360</v>
      </c>
      <c r="AN250" s="149" t="s">
        <v>4997</v>
      </c>
    </row>
    <row r="251" spans="17:43">
      <c r="Q251" s="99" t="s">
        <v>4981</v>
      </c>
      <c r="R251" s="95">
        <v>1150000</v>
      </c>
      <c r="T251" t="s">
        <v>25</v>
      </c>
      <c r="Y251" t="s">
        <v>25</v>
      </c>
      <c r="AH251" s="20">
        <v>55</v>
      </c>
      <c r="AI251" s="20" t="s">
        <v>4995</v>
      </c>
      <c r="AJ251" s="117">
        <v>50000000</v>
      </c>
      <c r="AK251" s="20">
        <v>4</v>
      </c>
      <c r="AL251" s="20">
        <f t="shared" si="49"/>
        <v>28</v>
      </c>
      <c r="AM251" s="20">
        <f t="shared" si="50"/>
        <v>1400000000</v>
      </c>
      <c r="AN251" s="20"/>
    </row>
    <row r="252" spans="17:43">
      <c r="Q252" s="99" t="s">
        <v>4930</v>
      </c>
      <c r="R252" s="95">
        <v>250000</v>
      </c>
      <c r="AH252" s="20">
        <v>56</v>
      </c>
      <c r="AI252" s="20" t="s">
        <v>5002</v>
      </c>
      <c r="AJ252" s="117">
        <v>400000</v>
      </c>
      <c r="AK252" s="20">
        <v>4</v>
      </c>
      <c r="AL252" s="20">
        <f t="shared" ref="AL252:AL263" si="51">AK252+AL253</f>
        <v>24</v>
      </c>
      <c r="AM252" s="20">
        <f t="shared" ref="AM252:AM263" si="52">AJ252*AL252</f>
        <v>9600000</v>
      </c>
      <c r="AN252" s="20"/>
    </row>
    <row r="253" spans="17:43">
      <c r="Q253" s="99" t="s">
        <v>5029</v>
      </c>
      <c r="R253" s="95">
        <v>1403460</v>
      </c>
      <c r="T253" t="s">
        <v>25</v>
      </c>
      <c r="AH253" s="20">
        <v>57</v>
      </c>
      <c r="AI253" s="20" t="s">
        <v>5020</v>
      </c>
      <c r="AJ253" s="117">
        <v>2000000</v>
      </c>
      <c r="AK253" s="20">
        <v>3</v>
      </c>
      <c r="AL253" s="20">
        <f t="shared" si="51"/>
        <v>20</v>
      </c>
      <c r="AM253" s="20">
        <f t="shared" si="52"/>
        <v>40000000</v>
      </c>
      <c r="AN253" s="20"/>
      <c r="AQ253" t="s">
        <v>25</v>
      </c>
    </row>
    <row r="254" spans="17:43">
      <c r="Q254" s="99" t="s">
        <v>5037</v>
      </c>
      <c r="R254" s="95">
        <v>200000</v>
      </c>
      <c r="T254" t="s">
        <v>25</v>
      </c>
      <c r="AH254" s="20">
        <v>58</v>
      </c>
      <c r="AI254" s="20" t="s">
        <v>5023</v>
      </c>
      <c r="AJ254" s="117">
        <v>100000</v>
      </c>
      <c r="AK254" s="20">
        <v>4</v>
      </c>
      <c r="AL254" s="20">
        <f t="shared" si="51"/>
        <v>17</v>
      </c>
      <c r="AM254" s="20">
        <f t="shared" si="52"/>
        <v>1700000</v>
      </c>
      <c r="AN254" s="20" t="s">
        <v>3891</v>
      </c>
    </row>
    <row r="255" spans="17:43">
      <c r="Q255" s="99" t="s">
        <v>5045</v>
      </c>
      <c r="R255" s="95">
        <v>345000</v>
      </c>
      <c r="AH255" s="20">
        <v>59</v>
      </c>
      <c r="AI255" s="20" t="s">
        <v>5037</v>
      </c>
      <c r="AJ255" s="117">
        <v>100000</v>
      </c>
      <c r="AK255" s="20">
        <v>7</v>
      </c>
      <c r="AL255" s="20">
        <f t="shared" si="51"/>
        <v>13</v>
      </c>
      <c r="AM255" s="20">
        <f t="shared" si="52"/>
        <v>1300000</v>
      </c>
      <c r="AN255" s="20"/>
    </row>
    <row r="256" spans="17:43">
      <c r="Q256" s="99" t="s">
        <v>5052</v>
      </c>
      <c r="R256" s="95">
        <v>900000</v>
      </c>
      <c r="AH256" s="20">
        <v>60</v>
      </c>
      <c r="AI256" s="20" t="s">
        <v>5056</v>
      </c>
      <c r="AJ256" s="117">
        <v>50000</v>
      </c>
      <c r="AK256" s="20">
        <v>0</v>
      </c>
      <c r="AL256" s="20">
        <f t="shared" si="51"/>
        <v>6</v>
      </c>
      <c r="AM256" s="20">
        <f t="shared" si="52"/>
        <v>300000</v>
      </c>
      <c r="AN256" s="20"/>
    </row>
    <row r="257" spans="17:40">
      <c r="Q257" s="99" t="s">
        <v>5056</v>
      </c>
      <c r="R257" s="95">
        <v>372517</v>
      </c>
      <c r="T257" t="s">
        <v>25</v>
      </c>
      <c r="AH257" s="149">
        <v>61</v>
      </c>
      <c r="AI257" s="149" t="s">
        <v>5056</v>
      </c>
      <c r="AJ257" s="189">
        <v>50000</v>
      </c>
      <c r="AK257" s="149">
        <v>3</v>
      </c>
      <c r="AL257" s="149">
        <f t="shared" si="51"/>
        <v>6</v>
      </c>
      <c r="AM257" s="149">
        <f t="shared" si="52"/>
        <v>300000</v>
      </c>
      <c r="AN257" s="149"/>
    </row>
    <row r="258" spans="17:40">
      <c r="Q258" s="99" t="s">
        <v>5070</v>
      </c>
      <c r="R258" s="95">
        <v>6489257</v>
      </c>
      <c r="T258" t="s">
        <v>25</v>
      </c>
      <c r="AH258" s="20">
        <v>62</v>
      </c>
      <c r="AI258" s="20" t="s">
        <v>5063</v>
      </c>
      <c r="AJ258" s="117">
        <v>50000</v>
      </c>
      <c r="AK258" s="20">
        <v>0</v>
      </c>
      <c r="AL258" s="20">
        <f t="shared" si="51"/>
        <v>3</v>
      </c>
      <c r="AM258" s="20">
        <f t="shared" si="52"/>
        <v>150000</v>
      </c>
      <c r="AN258" s="20"/>
    </row>
    <row r="259" spans="17:40">
      <c r="Q259" s="99"/>
      <c r="R259" s="95"/>
      <c r="AH259" s="196">
        <v>63</v>
      </c>
      <c r="AI259" s="196" t="s">
        <v>5063</v>
      </c>
      <c r="AJ259" s="197">
        <v>50000</v>
      </c>
      <c r="AK259" s="196">
        <v>2</v>
      </c>
      <c r="AL259" s="196">
        <f t="shared" si="51"/>
        <v>3</v>
      </c>
      <c r="AM259" s="196">
        <f t="shared" si="52"/>
        <v>150000</v>
      </c>
      <c r="AN259" s="196"/>
    </row>
    <row r="260" spans="17:40">
      <c r="Q260" s="99"/>
      <c r="R260" s="95">
        <f>SUM(R220:R259)</f>
        <v>431673179</v>
      </c>
      <c r="T260" t="s">
        <v>25</v>
      </c>
      <c r="AH260" s="20">
        <v>64</v>
      </c>
      <c r="AI260" s="20" t="s">
        <v>5073</v>
      </c>
      <c r="AJ260" s="117">
        <v>25000</v>
      </c>
      <c r="AK260" s="20">
        <v>0</v>
      </c>
      <c r="AL260" s="20">
        <f t="shared" si="51"/>
        <v>1</v>
      </c>
      <c r="AM260" s="20">
        <f t="shared" si="52"/>
        <v>25000</v>
      </c>
      <c r="AN260" s="20"/>
    </row>
    <row r="261" spans="17:40">
      <c r="Q261" s="99"/>
      <c r="R261" s="99" t="s">
        <v>6</v>
      </c>
      <c r="T261" t="s">
        <v>25</v>
      </c>
      <c r="AH261" s="149">
        <v>65</v>
      </c>
      <c r="AI261" s="149" t="s">
        <v>5073</v>
      </c>
      <c r="AJ261" s="189">
        <v>35000</v>
      </c>
      <c r="AK261" s="149">
        <v>1</v>
      </c>
      <c r="AL261" s="149">
        <f t="shared" si="51"/>
        <v>1</v>
      </c>
      <c r="AM261" s="149">
        <f t="shared" si="52"/>
        <v>35000</v>
      </c>
      <c r="AN261" s="149"/>
    </row>
    <row r="262" spans="17:40">
      <c r="AH262" s="20"/>
      <c r="AI262" s="20"/>
      <c r="AJ262" s="117"/>
      <c r="AK262" s="20"/>
      <c r="AL262" s="20">
        <f t="shared" si="51"/>
        <v>0</v>
      </c>
      <c r="AM262" s="20">
        <f t="shared" si="52"/>
        <v>0</v>
      </c>
      <c r="AN262" s="20"/>
    </row>
    <row r="263" spans="17:40">
      <c r="AH263" s="99"/>
      <c r="AI263" s="99"/>
      <c r="AJ263" s="117"/>
      <c r="AK263" s="99"/>
      <c r="AL263" s="20">
        <f t="shared" si="51"/>
        <v>0</v>
      </c>
      <c r="AM263" s="20">
        <f t="shared" si="52"/>
        <v>0</v>
      </c>
      <c r="AN263" s="20"/>
    </row>
    <row r="264" spans="17:40">
      <c r="T264" t="s">
        <v>25</v>
      </c>
      <c r="AH264" s="99"/>
      <c r="AI264" s="99"/>
      <c r="AJ264" s="117"/>
      <c r="AK264" s="99"/>
      <c r="AL264" s="99">
        <f t="shared" si="49"/>
        <v>0</v>
      </c>
      <c r="AM264" s="99">
        <f t="shared" si="50"/>
        <v>0</v>
      </c>
      <c r="AN264" s="99"/>
    </row>
    <row r="265" spans="17:40">
      <c r="T265" t="s">
        <v>25</v>
      </c>
      <c r="AH265" s="99"/>
      <c r="AI265" s="99"/>
      <c r="AJ265" s="95">
        <f>SUM(AJ197:AJ264)</f>
        <v>358279598</v>
      </c>
      <c r="AK265" s="99"/>
      <c r="AL265" s="99"/>
      <c r="AM265" s="99">
        <f>SUM(AM197:AM264)</f>
        <v>35098999943</v>
      </c>
      <c r="AN265" s="95">
        <f>AM265*AN183/31</f>
        <v>18870807.485483259</v>
      </c>
    </row>
    <row r="266" spans="17:40">
      <c r="T266" t="s">
        <v>25</v>
      </c>
      <c r="AJ266" t="s">
        <v>4059</v>
      </c>
      <c r="AM266" t="s">
        <v>284</v>
      </c>
      <c r="AN266" t="s">
        <v>943</v>
      </c>
    </row>
    <row r="267" spans="17:40">
      <c r="Y267" t="s">
        <v>25</v>
      </c>
    </row>
    <row r="268" spans="17:40">
      <c r="AI268" t="s">
        <v>4061</v>
      </c>
      <c r="AJ268" s="114">
        <f>AJ265+AN265</f>
        <v>377150405.48548329</v>
      </c>
    </row>
    <row r="269" spans="17:40">
      <c r="R269" t="s">
        <v>25</v>
      </c>
      <c r="AI269" t="s">
        <v>4064</v>
      </c>
      <c r="AJ269" s="114">
        <f>SUM(N20:N27)</f>
        <v>456133706.30000001</v>
      </c>
    </row>
    <row r="270" spans="17:40">
      <c r="AI270" t="s">
        <v>4136</v>
      </c>
      <c r="AJ270" s="114">
        <f>AJ269-AJ265</f>
        <v>97854108.300000012</v>
      </c>
    </row>
    <row r="271" spans="17:40">
      <c r="AI271" t="s">
        <v>943</v>
      </c>
      <c r="AJ271" s="114">
        <f>AN265</f>
        <v>18870807.485483259</v>
      </c>
    </row>
    <row r="272" spans="17:40">
      <c r="AI272" t="s">
        <v>4065</v>
      </c>
      <c r="AJ272" s="114">
        <f>AJ270-AJ271</f>
        <v>78983300.814516753</v>
      </c>
      <c r="AN272" t="s">
        <v>25</v>
      </c>
    </row>
    <row r="273" spans="40:40">
      <c r="AN273" t="s">
        <v>25</v>
      </c>
    </row>
    <row r="276" spans="40:40">
      <c r="AN276" t="s">
        <v>25</v>
      </c>
    </row>
    <row r="291" spans="16:16">
      <c r="P291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19:G1048576 G107:G110 G112 G93:G100">
    <cfRule type="cellIs" dxfId="9" priority="12" operator="lessThan">
      <formula>0</formula>
    </cfRule>
  </conditionalFormatting>
  <conditionalFormatting sqref="G102">
    <cfRule type="cellIs" dxfId="8" priority="3" operator="lessThan">
      <formula>0</formula>
    </cfRule>
  </conditionalFormatting>
  <conditionalFormatting sqref="G103 G105">
    <cfRule type="cellIs" dxfId="7" priority="4" operator="lessThan">
      <formula>0</formula>
    </cfRule>
  </conditionalFormatting>
  <conditionalFormatting sqref="G106">
    <cfRule type="cellIs" dxfId="6" priority="1" operator="lessThan">
      <formula>0</formula>
    </cfRule>
  </conditionalFormatting>
  <conditionalFormatting sqref="G101">
    <cfRule type="cellIs" dxfId="5" priority="5" operator="lessThan">
      <formula>0</formula>
    </cfRule>
  </conditionalFormatting>
  <conditionalFormatting sqref="G104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5 S104 S114 S36 G115 P22 S109 S119 S125 S102 J11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R7" zoomScale="90" zoomScaleNormal="90" workbookViewId="0">
      <selection activeCell="Y40" sqref="Y40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4637</v>
      </c>
      <c r="AE1" s="168" t="s">
        <v>4638</v>
      </c>
      <c r="AF1" s="99" t="s">
        <v>8</v>
      </c>
    </row>
    <row r="2" spans="1:32">
      <c r="A2" s="99" t="s">
        <v>4243</v>
      </c>
      <c r="B2" s="204">
        <v>1707</v>
      </c>
      <c r="C2" s="205" t="s">
        <v>4609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4583</v>
      </c>
      <c r="B3" s="204">
        <v>1184</v>
      </c>
      <c r="C3" s="205" t="s">
        <v>4589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4584</v>
      </c>
      <c r="B4" s="204">
        <v>1804</v>
      </c>
      <c r="C4" s="205" t="s">
        <v>4590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4615</v>
      </c>
      <c r="L5" s="221">
        <v>0</v>
      </c>
      <c r="M5" s="220">
        <v>3</v>
      </c>
      <c r="N5" s="221">
        <f t="shared" ref="N5" si="3">L5*M5</f>
        <v>0</v>
      </c>
      <c r="O5" s="222" t="s">
        <v>4619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4620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4624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4625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4629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4624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4629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4629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4629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4631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4903</v>
      </c>
      <c r="F12" s="114">
        <v>0</v>
      </c>
      <c r="J12" s="168">
        <v>11</v>
      </c>
      <c r="K12" s="168" t="s">
        <v>4657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4631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4657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4646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4611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4672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4646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4672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4662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4675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4675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4675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4699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4689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4699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4689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4711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4695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4711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4699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4712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4702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4705</v>
      </c>
      <c r="C23" s="99" t="s">
        <v>4706</v>
      </c>
      <c r="D23" s="99" t="s">
        <v>4707</v>
      </c>
      <c r="E23" s="69" t="s">
        <v>4708</v>
      </c>
      <c r="J23" s="214">
        <v>22</v>
      </c>
      <c r="K23" s="214" t="s">
        <v>4712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4702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4662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4712</v>
      </c>
      <c r="L24" s="221">
        <v>4388600</v>
      </c>
      <c r="M24" s="220">
        <v>5</v>
      </c>
      <c r="N24" s="221">
        <f t="shared" si="7"/>
        <v>21943000</v>
      </c>
      <c r="O24" s="222" t="s">
        <v>4724</v>
      </c>
      <c r="W24" s="214" t="s">
        <v>4712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4672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4714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4714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4675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4714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4723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4689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4723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4699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4723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4736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4702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4736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4703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4736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4709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4736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4736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4711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4736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4740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4741</v>
      </c>
    </row>
    <row r="33" spans="1:32">
      <c r="A33" s="99" t="s">
        <v>4712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4752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4740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4714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4752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4740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4723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4754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4754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4754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4754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4736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4903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4754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4740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4903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4762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4746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4762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4752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4762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4754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4779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4795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4770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4800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4779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4810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4812</v>
      </c>
    </row>
    <row r="45" spans="1:32">
      <c r="A45" s="99" t="s">
        <v>4790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4810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4795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4836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4799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5002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4800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5002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4810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5002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4814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5002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5002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5006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4836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5009</v>
      </c>
      <c r="X52" s="214" t="s">
        <v>4537</v>
      </c>
      <c r="Y52" s="113">
        <v>4957.7</v>
      </c>
      <c r="Z52" s="214" t="s">
        <v>5006</v>
      </c>
      <c r="AA52" s="214" t="s">
        <v>4390</v>
      </c>
      <c r="AB52" s="214">
        <v>3589.3</v>
      </c>
      <c r="AC52" s="214" t="s">
        <v>5006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4839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5009</v>
      </c>
      <c r="X53" s="214" t="s">
        <v>4537</v>
      </c>
      <c r="Y53" s="113">
        <v>4958</v>
      </c>
      <c r="Z53" s="214" t="s">
        <v>5006</v>
      </c>
      <c r="AA53" s="214" t="s">
        <v>4394</v>
      </c>
      <c r="AB53" s="214">
        <v>4730.8999999999996</v>
      </c>
      <c r="AC53" s="214" t="s">
        <v>5006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4842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5009</v>
      </c>
      <c r="X54" s="214" t="s">
        <v>4537</v>
      </c>
      <c r="Y54" s="113">
        <v>4958</v>
      </c>
      <c r="Z54" s="214" t="s">
        <v>5006</v>
      </c>
      <c r="AA54" s="214" t="s">
        <v>4409</v>
      </c>
      <c r="AB54" s="214">
        <v>671.9</v>
      </c>
      <c r="AC54" s="214" t="s">
        <v>5006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4849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5009</v>
      </c>
      <c r="X55" s="214" t="s">
        <v>4537</v>
      </c>
      <c r="Y55" s="113">
        <v>4958</v>
      </c>
      <c r="Z55" s="214" t="s">
        <v>5006</v>
      </c>
      <c r="AA55" s="214" t="s">
        <v>4243</v>
      </c>
      <c r="AB55" s="214">
        <v>194.4</v>
      </c>
      <c r="AC55" s="214" t="s">
        <v>5006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4856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4861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4870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4903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4904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4915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4934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 t="s">
        <v>5045</v>
      </c>
      <c r="B63" s="95">
        <v>4700000</v>
      </c>
      <c r="C63" s="95">
        <v>4830000</v>
      </c>
      <c r="D63" s="95">
        <v>13850</v>
      </c>
      <c r="E63" s="95">
        <v>14050</v>
      </c>
      <c r="I63" s="214" t="s">
        <v>8</v>
      </c>
      <c r="J63" s="214" t="s">
        <v>4765</v>
      </c>
      <c r="K63" s="214" t="s">
        <v>180</v>
      </c>
      <c r="L63" s="227" t="s">
        <v>4763</v>
      </c>
      <c r="M63" s="227" t="s">
        <v>4764</v>
      </c>
      <c r="N63" s="214" t="s">
        <v>6</v>
      </c>
      <c r="O63" s="214" t="s">
        <v>4766</v>
      </c>
      <c r="P63" s="214" t="s">
        <v>4781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4712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4740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A66" s="99"/>
      <c r="B66" s="95"/>
      <c r="C66" s="95"/>
      <c r="D66" s="95"/>
      <c r="E66" s="95"/>
      <c r="F66" t="s">
        <v>25</v>
      </c>
      <c r="I66" s="214"/>
      <c r="J66" s="113">
        <f t="shared" ref="J66:J88" si="14">L66-L65</f>
        <v>11531981</v>
      </c>
      <c r="K66" s="214" t="s">
        <v>4746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A67" s="99"/>
      <c r="B67" s="95"/>
      <c r="C67" s="95"/>
      <c r="D67" s="95"/>
      <c r="E67" s="95"/>
      <c r="I67" s="214"/>
      <c r="J67" s="113">
        <f t="shared" si="14"/>
        <v>17387769</v>
      </c>
      <c r="K67" s="214" t="s">
        <v>4752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A68" s="99"/>
      <c r="B68" s="95"/>
      <c r="C68" s="95"/>
      <c r="D68" s="95"/>
      <c r="E68" s="95"/>
      <c r="I68" s="214"/>
      <c r="J68" s="113">
        <f t="shared" si="14"/>
        <v>11024486</v>
      </c>
      <c r="K68" s="214" t="s">
        <v>4754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A69" s="99"/>
      <c r="B69" s="95"/>
      <c r="C69" s="95"/>
      <c r="D69" s="95"/>
      <c r="E69" s="95"/>
      <c r="I69" s="214"/>
      <c r="J69" s="113">
        <f t="shared" si="14"/>
        <v>-8942851</v>
      </c>
      <c r="K69" s="214" t="s">
        <v>4762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A70" s="99"/>
      <c r="B70" s="95"/>
      <c r="C70" s="95"/>
      <c r="D70" s="95"/>
      <c r="E70" s="95"/>
      <c r="I70" s="5" t="s">
        <v>4778</v>
      </c>
      <c r="J70" s="35">
        <f t="shared" si="14"/>
        <v>45893629</v>
      </c>
      <c r="K70" s="5" t="s">
        <v>4770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A71" s="99"/>
      <c r="B71" s="95"/>
      <c r="C71" s="95"/>
      <c r="D71" s="95"/>
      <c r="E71" s="95"/>
      <c r="I71" s="214"/>
      <c r="J71" s="113">
        <f t="shared" si="14"/>
        <v>3462014</v>
      </c>
      <c r="K71" s="214" t="s">
        <v>4779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A72" s="99"/>
      <c r="B72" s="95"/>
      <c r="C72" s="95"/>
      <c r="D72" s="95"/>
      <c r="E72" s="95"/>
      <c r="I72" s="214"/>
      <c r="J72" s="113">
        <f t="shared" si="14"/>
        <v>-2687296</v>
      </c>
      <c r="K72" s="214" t="s">
        <v>4795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A73" s="99"/>
      <c r="B73" s="95"/>
      <c r="C73" s="95"/>
      <c r="D73" s="95"/>
      <c r="E73" s="95"/>
      <c r="I73" s="214"/>
      <c r="J73" s="113">
        <f t="shared" si="14"/>
        <v>-6009466</v>
      </c>
      <c r="K73" s="214" t="s">
        <v>4799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A74" s="99"/>
      <c r="B74" s="95"/>
      <c r="C74" s="95"/>
      <c r="D74" s="95"/>
      <c r="E74" s="95"/>
      <c r="I74" s="214"/>
      <c r="J74" s="113">
        <f t="shared" si="14"/>
        <v>-1273071</v>
      </c>
      <c r="K74" s="214" t="s">
        <v>4800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4810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4814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D77" s="114">
        <f>B62-B28+L19</f>
        <v>4991628</v>
      </c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4651</v>
      </c>
      <c r="AA77" s="96"/>
      <c r="AB77" s="96"/>
      <c r="AC77" s="96"/>
      <c r="AD77" s="96"/>
    </row>
    <row r="78" spans="1:32">
      <c r="B78" t="s">
        <v>25</v>
      </c>
      <c r="F78" t="s">
        <v>25</v>
      </c>
      <c r="I78" s="214"/>
      <c r="J78" s="113">
        <f t="shared" si="14"/>
        <v>6046556</v>
      </c>
      <c r="K78" s="214" t="s">
        <v>4836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4652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4839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4655</v>
      </c>
      <c r="Y79" s="22" t="s">
        <v>4654</v>
      </c>
      <c r="Z79" s="22" t="s">
        <v>4653</v>
      </c>
      <c r="AA79" s="22" t="s">
        <v>4656</v>
      </c>
    </row>
    <row r="80" spans="1:32">
      <c r="D80" t="s">
        <v>25</v>
      </c>
      <c r="E80" t="s">
        <v>25</v>
      </c>
      <c r="G80" t="s">
        <v>25</v>
      </c>
      <c r="I80" s="5" t="s">
        <v>4860</v>
      </c>
      <c r="J80" s="35">
        <f t="shared" si="14"/>
        <v>-1984018</v>
      </c>
      <c r="K80" s="5" t="s">
        <v>4842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4849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4859</v>
      </c>
      <c r="J82" s="86">
        <f t="shared" si="14"/>
        <v>8860702</v>
      </c>
      <c r="K82" s="192" t="s">
        <v>4856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4868</v>
      </c>
      <c r="J83" s="86">
        <f>L83-L82+31412200</f>
        <v>20439704</v>
      </c>
      <c r="K83" s="192" t="s">
        <v>4861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4869</v>
      </c>
      <c r="J84" s="189">
        <f t="shared" si="14"/>
        <v>21224293</v>
      </c>
      <c r="K84" s="190" t="s">
        <v>4870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4878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4889</v>
      </c>
      <c r="J87" s="197">
        <f>L87-L86-20000</f>
        <v>7878257</v>
      </c>
      <c r="K87" s="191" t="s">
        <v>4879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4891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4892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4925</v>
      </c>
      <c r="J90" s="197">
        <f>L90-L89-1000000</f>
        <v>3840350</v>
      </c>
      <c r="K90" s="191" t="s">
        <v>4903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4904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4915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4917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4918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4924</v>
      </c>
      <c r="J95" s="197">
        <f>L95-L94-2520000</f>
        <v>-274657</v>
      </c>
      <c r="K95" s="191" t="s">
        <v>4921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4926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4929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4931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4932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4934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4935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4938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4937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4984</v>
      </c>
      <c r="J104" s="197">
        <f>L104-L103-1400000</f>
        <v>-1688384</v>
      </c>
      <c r="K104" s="191" t="s">
        <v>4981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4983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4986</v>
      </c>
      <c r="J106" s="189">
        <f>L106-L105-1550000</f>
        <v>16319322</v>
      </c>
      <c r="K106" s="190" t="s">
        <v>4985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4987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4990</v>
      </c>
      <c r="J108" s="189">
        <f>L108-L107-250000</f>
        <v>9825827</v>
      </c>
      <c r="K108" s="190" t="s">
        <v>4930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4991</v>
      </c>
      <c r="L109" s="84">
        <v>764265377</v>
      </c>
      <c r="M109" s="84">
        <v>346850621</v>
      </c>
      <c r="N109" s="117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4999</v>
      </c>
      <c r="J110" s="250">
        <f>L110-L109+48527480</f>
        <v>-4646184</v>
      </c>
      <c r="K110" s="217" t="s">
        <v>4995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5001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5007</v>
      </c>
      <c r="J112" s="189">
        <f t="shared" si="19"/>
        <v>-11559770</v>
      </c>
      <c r="K112" s="190" t="s">
        <v>5002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5011</v>
      </c>
      <c r="J113" s="113">
        <f t="shared" si="19"/>
        <v>-47970668</v>
      </c>
      <c r="K113" s="214" t="s">
        <v>5009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5018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5019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5022</v>
      </c>
      <c r="J116" s="189">
        <f t="shared" si="19"/>
        <v>-3653734</v>
      </c>
      <c r="K116" s="190" t="s">
        <v>5020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5025</v>
      </c>
      <c r="J117" s="189">
        <f t="shared" si="19"/>
        <v>-492645</v>
      </c>
      <c r="K117" s="190" t="s">
        <v>5023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5026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5027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5032</v>
      </c>
      <c r="J120" s="189">
        <f>L120-L119-2100000</f>
        <v>2603523</v>
      </c>
      <c r="K120" s="190" t="s">
        <v>5029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5040</v>
      </c>
      <c r="J121" s="189">
        <f>L121-L120-100000</f>
        <v>1223636</v>
      </c>
      <c r="K121" s="190" t="s">
        <v>5037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5042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190" t="s">
        <v>5051</v>
      </c>
      <c r="J123" s="189">
        <f>L123-L122-115000</f>
        <v>-1004989</v>
      </c>
      <c r="K123" s="190" t="s">
        <v>5045</v>
      </c>
      <c r="L123" s="240">
        <v>686878952</v>
      </c>
      <c r="M123" s="240">
        <v>402566982</v>
      </c>
      <c r="N123" s="189">
        <f>L123+M123</f>
        <v>1089445934</v>
      </c>
      <c r="O123" s="189">
        <f>M123-M122-115000</f>
        <v>1499857</v>
      </c>
      <c r="P123" s="189">
        <f>N123-N122-230000</f>
        <v>494868</v>
      </c>
      <c r="Q123" s="230">
        <v>230000</v>
      </c>
    </row>
    <row r="124" spans="9:19">
      <c r="I124" s="190" t="s">
        <v>5055</v>
      </c>
      <c r="J124" s="189">
        <f>L124-L123-900000</f>
        <v>16455514</v>
      </c>
      <c r="K124" s="190" t="s">
        <v>5053</v>
      </c>
      <c r="L124" s="240">
        <v>704234466</v>
      </c>
      <c r="M124" s="240">
        <v>413359717</v>
      </c>
      <c r="N124" s="189">
        <f t="shared" ref="N124:N146" si="30">L124+M124</f>
        <v>1117594183</v>
      </c>
      <c r="O124" s="189">
        <f t="shared" si="28"/>
        <v>10792735</v>
      </c>
      <c r="P124" s="189">
        <f>N124-N123-900000</f>
        <v>27248249</v>
      </c>
      <c r="Q124" s="230">
        <v>900000</v>
      </c>
    </row>
    <row r="125" spans="9:19">
      <c r="I125" s="190" t="s">
        <v>5060</v>
      </c>
      <c r="J125" s="189">
        <f>L125-L124-241774</f>
        <v>7847987</v>
      </c>
      <c r="K125" s="190" t="s">
        <v>5056</v>
      </c>
      <c r="L125" s="240">
        <v>712324227</v>
      </c>
      <c r="M125" s="240">
        <v>416450606</v>
      </c>
      <c r="N125" s="35">
        <f>L125+M125</f>
        <v>1128774833</v>
      </c>
      <c r="O125" s="189">
        <f>M125-M124-50000</f>
        <v>3040889</v>
      </c>
      <c r="P125" s="189">
        <f>N125-N124-291774</f>
        <v>10888876</v>
      </c>
      <c r="Q125" s="230">
        <v>291774</v>
      </c>
    </row>
    <row r="126" spans="9:19">
      <c r="I126" s="190" t="s">
        <v>5072</v>
      </c>
      <c r="J126" s="189">
        <f>L126-L125-5701774</f>
        <v>-18426154</v>
      </c>
      <c r="K126" s="190" t="s">
        <v>5070</v>
      </c>
      <c r="L126" s="240">
        <v>699599847</v>
      </c>
      <c r="M126" s="240">
        <v>407446033</v>
      </c>
      <c r="N126" s="189">
        <f t="shared" si="30"/>
        <v>1107045880</v>
      </c>
      <c r="O126" s="189">
        <f>M126-M125-50000</f>
        <v>-9054573</v>
      </c>
      <c r="P126" s="189">
        <f>N126-N125-5751774</f>
        <v>-27480727</v>
      </c>
      <c r="Q126" s="230">
        <v>5751774</v>
      </c>
    </row>
    <row r="127" spans="9:19">
      <c r="I127" s="252" t="s">
        <v>5081</v>
      </c>
      <c r="J127" s="253">
        <f t="shared" si="19"/>
        <v>9831878</v>
      </c>
      <c r="K127" s="252" t="s">
        <v>5073</v>
      </c>
      <c r="L127" s="254">
        <v>709431725</v>
      </c>
      <c r="M127" s="254">
        <v>415572724</v>
      </c>
      <c r="N127" s="253">
        <f t="shared" si="30"/>
        <v>1125004449</v>
      </c>
      <c r="O127" s="253">
        <f>M127-M126-25000</f>
        <v>8101691</v>
      </c>
      <c r="P127" s="253">
        <f>N127-N126-25000</f>
        <v>17933569</v>
      </c>
      <c r="Q127" s="230">
        <v>25000</v>
      </c>
    </row>
    <row r="128" spans="9:19">
      <c r="I128" s="214"/>
      <c r="J128" s="113">
        <f t="shared" si="19"/>
        <v>-709431725</v>
      </c>
      <c r="K128" s="214"/>
      <c r="L128" s="84"/>
      <c r="M128" s="84"/>
      <c r="N128" s="113">
        <f t="shared" si="30"/>
        <v>0</v>
      </c>
      <c r="O128" s="113">
        <f t="shared" si="28"/>
        <v>-415572724</v>
      </c>
      <c r="P128" s="113">
        <f t="shared" si="29"/>
        <v>-1125004449</v>
      </c>
    </row>
    <row r="129" spans="9:19">
      <c r="I129" s="214"/>
      <c r="J129" s="113">
        <f t="shared" si="19"/>
        <v>0</v>
      </c>
      <c r="K129" s="214"/>
      <c r="L129" s="84"/>
      <c r="M129" s="84"/>
      <c r="N129" s="113">
        <f t="shared" si="30"/>
        <v>0</v>
      </c>
      <c r="O129" s="113">
        <f t="shared" si="28"/>
        <v>0</v>
      </c>
      <c r="P129" s="113">
        <f t="shared" si="29"/>
        <v>0</v>
      </c>
    </row>
    <row r="130" spans="9:19">
      <c r="I130" s="214"/>
      <c r="J130" s="113">
        <f t="shared" si="19"/>
        <v>0</v>
      </c>
      <c r="K130" s="214"/>
      <c r="L130" s="84"/>
      <c r="M130" s="84"/>
      <c r="N130" s="113">
        <f t="shared" si="30"/>
        <v>0</v>
      </c>
      <c r="O130" s="113">
        <f t="shared" si="28"/>
        <v>0</v>
      </c>
      <c r="P130" s="113">
        <f t="shared" si="29"/>
        <v>0</v>
      </c>
      <c r="S130" t="s">
        <v>25</v>
      </c>
    </row>
    <row r="131" spans="9:19">
      <c r="I131" s="214"/>
      <c r="J131" s="113">
        <f t="shared" si="19"/>
        <v>0</v>
      </c>
      <c r="K131" s="214"/>
      <c r="L131" s="84"/>
      <c r="M131" s="84"/>
      <c r="N131" s="113">
        <f t="shared" si="30"/>
        <v>0</v>
      </c>
      <c r="O131" s="113">
        <f t="shared" si="28"/>
        <v>0</v>
      </c>
      <c r="P131" s="113">
        <f t="shared" si="29"/>
        <v>0</v>
      </c>
      <c r="S131" t="s">
        <v>25</v>
      </c>
    </row>
    <row r="132" spans="9:19">
      <c r="I132" s="214"/>
      <c r="J132" s="113">
        <f t="shared" si="19"/>
        <v>0</v>
      </c>
      <c r="K132" s="214"/>
      <c r="L132" s="84"/>
      <c r="M132" s="84"/>
      <c r="N132" s="113">
        <f t="shared" si="30"/>
        <v>0</v>
      </c>
      <c r="O132" s="113">
        <f t="shared" si="28"/>
        <v>0</v>
      </c>
      <c r="P132" s="113">
        <f t="shared" si="29"/>
        <v>0</v>
      </c>
    </row>
    <row r="133" spans="9:19">
      <c r="I133" s="214"/>
      <c r="J133" s="113">
        <f t="shared" si="19"/>
        <v>0</v>
      </c>
      <c r="K133" s="214"/>
      <c r="L133" s="84"/>
      <c r="M133" s="84"/>
      <c r="N133" s="113">
        <f t="shared" si="30"/>
        <v>0</v>
      </c>
      <c r="O133" s="113">
        <f t="shared" si="28"/>
        <v>0</v>
      </c>
      <c r="P133" s="113">
        <f t="shared" si="29"/>
        <v>0</v>
      </c>
    </row>
    <row r="134" spans="9:19">
      <c r="I134" s="214"/>
      <c r="J134" s="113">
        <f t="shared" si="19"/>
        <v>0</v>
      </c>
      <c r="K134" s="214"/>
      <c r="L134" s="84"/>
      <c r="M134" s="84"/>
      <c r="N134" s="113">
        <f t="shared" si="30"/>
        <v>0</v>
      </c>
      <c r="O134" s="113">
        <f t="shared" si="28"/>
        <v>0</v>
      </c>
      <c r="P134" s="113">
        <f t="shared" si="29"/>
        <v>0</v>
      </c>
    </row>
    <row r="135" spans="9:19">
      <c r="I135" s="214"/>
      <c r="J135" s="113">
        <f t="shared" si="19"/>
        <v>0</v>
      </c>
      <c r="K135" s="214"/>
      <c r="L135" s="84"/>
      <c r="M135" s="84"/>
      <c r="N135" s="113">
        <f t="shared" si="30"/>
        <v>0</v>
      </c>
      <c r="O135" s="113">
        <f t="shared" si="28"/>
        <v>0</v>
      </c>
      <c r="P135" s="113">
        <f t="shared" si="29"/>
        <v>0</v>
      </c>
    </row>
    <row r="136" spans="9:19">
      <c r="I136" s="214"/>
      <c r="J136" s="113">
        <f t="shared" si="19"/>
        <v>0</v>
      </c>
      <c r="K136" s="214"/>
      <c r="L136" s="84"/>
      <c r="M136" s="84"/>
      <c r="N136" s="113">
        <f t="shared" si="30"/>
        <v>0</v>
      </c>
      <c r="O136" s="113">
        <f t="shared" si="28"/>
        <v>0</v>
      </c>
      <c r="P136" s="113">
        <f t="shared" si="29"/>
        <v>0</v>
      </c>
    </row>
    <row r="137" spans="9:19">
      <c r="I137" s="214"/>
      <c r="J137" s="113">
        <f t="shared" si="19"/>
        <v>0</v>
      </c>
      <c r="K137" s="214"/>
      <c r="L137" s="84"/>
      <c r="M137" s="84"/>
      <c r="N137" s="113">
        <f t="shared" si="30"/>
        <v>0</v>
      </c>
      <c r="O137" s="113">
        <f t="shared" si="28"/>
        <v>0</v>
      </c>
      <c r="P137" s="113">
        <f t="shared" si="29"/>
        <v>0</v>
      </c>
    </row>
    <row r="138" spans="9:19">
      <c r="I138" s="214"/>
      <c r="J138" s="113">
        <f t="shared" si="19"/>
        <v>0</v>
      </c>
      <c r="K138" s="214"/>
      <c r="L138" s="84"/>
      <c r="M138" s="84"/>
      <c r="N138" s="113">
        <f t="shared" si="30"/>
        <v>0</v>
      </c>
      <c r="O138" s="113">
        <f t="shared" si="28"/>
        <v>0</v>
      </c>
      <c r="P138" s="113">
        <f t="shared" si="29"/>
        <v>0</v>
      </c>
    </row>
    <row r="139" spans="9:19">
      <c r="I139" s="214"/>
      <c r="J139" s="113">
        <f t="shared" si="19"/>
        <v>0</v>
      </c>
      <c r="K139" s="214"/>
      <c r="L139" s="84"/>
      <c r="M139" s="84"/>
      <c r="N139" s="113">
        <f t="shared" si="30"/>
        <v>0</v>
      </c>
      <c r="O139" s="113">
        <f t="shared" si="28"/>
        <v>0</v>
      </c>
      <c r="P139" s="113">
        <f t="shared" si="29"/>
        <v>0</v>
      </c>
    </row>
    <row r="140" spans="9:19">
      <c r="I140" s="214"/>
      <c r="J140" s="113">
        <f t="shared" si="19"/>
        <v>0</v>
      </c>
      <c r="K140" s="214"/>
      <c r="L140" s="84"/>
      <c r="M140" s="84"/>
      <c r="N140" s="113">
        <f t="shared" si="30"/>
        <v>0</v>
      </c>
      <c r="O140" s="113">
        <f t="shared" si="28"/>
        <v>0</v>
      </c>
      <c r="P140" s="113">
        <f t="shared" si="29"/>
        <v>0</v>
      </c>
    </row>
    <row r="141" spans="9:19">
      <c r="I141" s="214"/>
      <c r="J141" s="113">
        <f t="shared" si="19"/>
        <v>0</v>
      </c>
      <c r="K141" s="214"/>
      <c r="L141" s="84"/>
      <c r="M141" s="84"/>
      <c r="N141" s="113">
        <f t="shared" si="30"/>
        <v>0</v>
      </c>
      <c r="O141" s="113">
        <f t="shared" si="28"/>
        <v>0</v>
      </c>
      <c r="P141" s="113">
        <f t="shared" si="29"/>
        <v>0</v>
      </c>
    </row>
    <row r="142" spans="9:19">
      <c r="I142" s="214"/>
      <c r="J142" s="113">
        <f t="shared" si="19"/>
        <v>0</v>
      </c>
      <c r="K142" s="214"/>
      <c r="L142" s="84"/>
      <c r="M142" s="84"/>
      <c r="N142" s="113">
        <f t="shared" si="30"/>
        <v>0</v>
      </c>
      <c r="O142" s="113">
        <f t="shared" si="28"/>
        <v>0</v>
      </c>
      <c r="P142" s="113">
        <f t="shared" si="29"/>
        <v>0</v>
      </c>
    </row>
    <row r="143" spans="9:19">
      <c r="I143" s="214"/>
      <c r="J143" s="113">
        <f t="shared" si="19"/>
        <v>0</v>
      </c>
      <c r="K143" s="214"/>
      <c r="L143" s="84"/>
      <c r="M143" s="84"/>
      <c r="N143" s="113">
        <f t="shared" si="30"/>
        <v>0</v>
      </c>
      <c r="O143" s="113">
        <f t="shared" si="28"/>
        <v>0</v>
      </c>
      <c r="P143" s="113">
        <f t="shared" si="29"/>
        <v>0</v>
      </c>
    </row>
    <row r="144" spans="9:19">
      <c r="I144" s="214"/>
      <c r="J144" s="113">
        <f t="shared" si="19"/>
        <v>0</v>
      </c>
      <c r="K144" s="214"/>
      <c r="L144" s="84"/>
      <c r="M144" s="84"/>
      <c r="N144" s="113">
        <f t="shared" si="30"/>
        <v>0</v>
      </c>
      <c r="O144" s="113">
        <f t="shared" si="28"/>
        <v>0</v>
      </c>
      <c r="P144" s="113">
        <f t="shared" si="29"/>
        <v>0</v>
      </c>
    </row>
    <row r="145" spans="9:16">
      <c r="I145" s="214"/>
      <c r="J145" s="113">
        <f t="shared" si="19"/>
        <v>0</v>
      </c>
      <c r="K145" s="214"/>
      <c r="L145" s="84"/>
      <c r="M145" s="84"/>
      <c r="N145" s="113">
        <f t="shared" si="30"/>
        <v>0</v>
      </c>
      <c r="O145" s="113">
        <f t="shared" si="28"/>
        <v>0</v>
      </c>
      <c r="P145" s="113">
        <f t="shared" si="29"/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30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4596</v>
      </c>
      <c r="AA2" s="99" t="s">
        <v>4594</v>
      </c>
      <c r="AB2" s="99" t="s">
        <v>4595</v>
      </c>
      <c r="AC2" s="99" t="s">
        <v>4598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4600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4597</v>
      </c>
      <c r="Z4" s="99">
        <v>1</v>
      </c>
      <c r="AA4" s="99">
        <v>1</v>
      </c>
      <c r="AB4" s="99">
        <f t="shared" si="0"/>
        <v>1</v>
      </c>
      <c r="AC4" s="99" t="s">
        <v>4599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4770</v>
      </c>
      <c r="B44" s="113">
        <v>-31000</v>
      </c>
      <c r="C44" s="99" t="s">
        <v>4780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4861</v>
      </c>
      <c r="B45" s="113">
        <v>2060725</v>
      </c>
      <c r="C45" s="99" t="s">
        <v>4864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4887</v>
      </c>
      <c r="B46" s="113">
        <v>-1073169</v>
      </c>
      <c r="C46" s="99" t="s">
        <v>4888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4879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4879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4892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4897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4898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4904</v>
      </c>
      <c r="B52" s="113">
        <v>-195330</v>
      </c>
      <c r="C52" s="99" t="s">
        <v>4910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4915</v>
      </c>
      <c r="B53" s="113">
        <v>-140730</v>
      </c>
      <c r="C53" s="99" t="s">
        <v>4919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4917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4917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4921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4825</v>
      </c>
      <c r="I46" s="11">
        <v>248200</v>
      </c>
      <c r="J46" s="11" t="s">
        <v>4835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4588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4593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4603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4601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4606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4615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4620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4620</v>
      </c>
      <c r="B29" s="18">
        <v>-77315</v>
      </c>
      <c r="C29" s="18">
        <v>0</v>
      </c>
      <c r="D29" s="113">
        <f t="shared" si="0"/>
        <v>-77315</v>
      </c>
      <c r="E29" s="19" t="s">
        <v>4622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4624</v>
      </c>
      <c r="B30" s="18">
        <v>-66850</v>
      </c>
      <c r="C30" s="18">
        <v>0</v>
      </c>
      <c r="D30" s="113">
        <f t="shared" si="0"/>
        <v>-66850</v>
      </c>
      <c r="E30" s="19" t="s">
        <v>4627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4616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4646</v>
      </c>
      <c r="B5" s="18">
        <v>-200000</v>
      </c>
      <c r="C5" s="18">
        <v>0</v>
      </c>
      <c r="D5" s="113">
        <f t="shared" si="0"/>
        <v>-200000</v>
      </c>
      <c r="E5" s="20" t="s">
        <v>4643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4657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4662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4662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4662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4662</v>
      </c>
      <c r="B10" s="18">
        <v>-51400</v>
      </c>
      <c r="C10" s="18">
        <v>0</v>
      </c>
      <c r="D10" s="113">
        <f t="shared" si="0"/>
        <v>-51400</v>
      </c>
      <c r="E10" s="19" t="s">
        <v>4669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4672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4672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4689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4689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4689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4709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4709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4719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4711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4712</v>
      </c>
      <c r="B22" s="18">
        <v>-324747</v>
      </c>
      <c r="C22" s="18">
        <v>0</v>
      </c>
      <c r="D22" s="113">
        <f t="shared" si="0"/>
        <v>-324747</v>
      </c>
      <c r="E22" s="19" t="s">
        <v>4720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4727</v>
      </c>
      <c r="B23" s="18">
        <v>-297992</v>
      </c>
      <c r="C23" s="18">
        <v>0</v>
      </c>
      <c r="D23" s="113">
        <f t="shared" si="0"/>
        <v>-297992</v>
      </c>
      <c r="E23" s="19" t="s">
        <v>4728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4736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4639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4667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4668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4669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4710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4716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4717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4718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4729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4742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4743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4740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4749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4770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4779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4779</v>
      </c>
      <c r="B6" s="18">
        <v>-1866154</v>
      </c>
      <c r="C6" s="18">
        <v>0</v>
      </c>
      <c r="D6" s="113">
        <f t="shared" si="0"/>
        <v>-1866154</v>
      </c>
      <c r="E6" s="19" t="s">
        <v>4788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4779</v>
      </c>
      <c r="B7" s="18">
        <v>-36600</v>
      </c>
      <c r="C7" s="18">
        <v>0</v>
      </c>
      <c r="D7" s="113">
        <f t="shared" si="0"/>
        <v>-36600</v>
      </c>
      <c r="E7" s="19" t="s">
        <v>4789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4790</v>
      </c>
      <c r="B8" s="18">
        <v>-492000</v>
      </c>
      <c r="C8" s="18">
        <v>0</v>
      </c>
      <c r="D8" s="113">
        <f t="shared" si="0"/>
        <v>-492000</v>
      </c>
      <c r="E8" s="19" t="s">
        <v>4791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4790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4790</v>
      </c>
      <c r="B10" s="18">
        <v>-40000</v>
      </c>
      <c r="C10" s="18">
        <v>0</v>
      </c>
      <c r="D10" s="113">
        <f t="shared" si="0"/>
        <v>-40000</v>
      </c>
      <c r="E10" s="19" t="s">
        <v>4793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4794</v>
      </c>
      <c r="B11" s="18">
        <v>-66000</v>
      </c>
      <c r="C11" s="18">
        <v>0</v>
      </c>
      <c r="D11" s="113">
        <f t="shared" si="0"/>
        <v>-66000</v>
      </c>
      <c r="E11" s="19" t="s">
        <v>4793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4795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4795</v>
      </c>
      <c r="B13" s="18">
        <v>-200500</v>
      </c>
      <c r="C13" s="18">
        <v>0</v>
      </c>
      <c r="D13" s="113">
        <f t="shared" si="0"/>
        <v>-200500</v>
      </c>
      <c r="E13" s="20" t="s">
        <v>4796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4800</v>
      </c>
      <c r="B14" s="18">
        <v>1563000</v>
      </c>
      <c r="C14" s="18">
        <v>0</v>
      </c>
      <c r="D14" s="113">
        <f t="shared" si="0"/>
        <v>1563000</v>
      </c>
      <c r="E14" s="20" t="s">
        <v>4805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4800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4814</v>
      </c>
      <c r="B16" s="18">
        <v>-20000</v>
      </c>
      <c r="C16" s="18">
        <v>0</v>
      </c>
      <c r="D16" s="113">
        <f t="shared" si="0"/>
        <v>-20000</v>
      </c>
      <c r="E16" s="20" t="s">
        <v>4818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4829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4833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4839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4849</v>
      </c>
      <c r="B20" s="18">
        <v>400000</v>
      </c>
      <c r="C20" s="18">
        <v>0</v>
      </c>
      <c r="D20" s="113">
        <f t="shared" si="0"/>
        <v>400000</v>
      </c>
      <c r="E20" s="19" t="s">
        <v>4851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4856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4856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4861</v>
      </c>
      <c r="B28" s="18">
        <v>433375</v>
      </c>
      <c r="C28" s="18">
        <v>0</v>
      </c>
      <c r="D28" s="113">
        <f t="shared" si="0"/>
        <v>433375</v>
      </c>
      <c r="E28" s="19" t="s">
        <v>4864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4870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4870</v>
      </c>
      <c r="B30" s="18">
        <v>-300000</v>
      </c>
      <c r="C30" s="18">
        <v>0</v>
      </c>
      <c r="D30" s="113">
        <f t="shared" si="0"/>
        <v>-300000</v>
      </c>
      <c r="E30" s="19" t="s">
        <v>4873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4870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4876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4624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4748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4759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4769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4777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4786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4787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4788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4797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4798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4801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4806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4809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4813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4816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4817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4819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4820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4838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4840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4843</v>
      </c>
      <c r="F69" s="96"/>
      <c r="G69" s="96"/>
      <c r="H69" s="96"/>
      <c r="I69" s="96"/>
    </row>
    <row r="70" spans="1:22">
      <c r="D70" s="18">
        <v>-400000</v>
      </c>
      <c r="E70" s="122" t="s">
        <v>4852</v>
      </c>
      <c r="G70" t="s">
        <v>25</v>
      </c>
    </row>
    <row r="71" spans="1:22">
      <c r="D71" s="18">
        <v>463200</v>
      </c>
      <c r="E71" s="122" t="s">
        <v>4854</v>
      </c>
    </row>
    <row r="72" spans="1:22">
      <c r="D72" s="18">
        <v>2000000</v>
      </c>
      <c r="E72" s="96" t="s">
        <v>4857</v>
      </c>
    </row>
    <row r="73" spans="1:22">
      <c r="D73" s="18">
        <v>-280000</v>
      </c>
      <c r="E73" t="s">
        <v>4858</v>
      </c>
    </row>
    <row r="74" spans="1:22">
      <c r="D74" s="18">
        <v>-200000</v>
      </c>
      <c r="E74" s="96" t="s">
        <v>4865</v>
      </c>
    </row>
    <row r="75" spans="1:22">
      <c r="D75" s="18">
        <v>-2000000</v>
      </c>
      <c r="E75" s="96" t="s">
        <v>4871</v>
      </c>
    </row>
    <row r="76" spans="1:22">
      <c r="D76" s="18">
        <v>92800</v>
      </c>
      <c r="E76" s="96" t="s">
        <v>4875</v>
      </c>
    </row>
    <row r="77" spans="1:22">
      <c r="D77" s="18">
        <v>1417727</v>
      </c>
      <c r="E77" s="96" t="s">
        <v>4876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5" t="s">
        <v>1089</v>
      </c>
      <c r="R21" s="255"/>
      <c r="S21" s="255"/>
      <c r="T21" s="255"/>
      <c r="U21" s="96"/>
      <c r="V21" s="96"/>
      <c r="W21" s="96"/>
      <c r="X21" s="96"/>
      <c r="Y21" s="96"/>
      <c r="Z21" s="96"/>
    </row>
    <row r="22" spans="5:35">
      <c r="O22" s="99"/>
      <c r="P22" s="99"/>
      <c r="Q22" s="255"/>
      <c r="R22" s="255"/>
      <c r="S22" s="255"/>
      <c r="T22" s="255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6" t="s">
        <v>1090</v>
      </c>
      <c r="R23" s="257" t="s">
        <v>1091</v>
      </c>
      <c r="S23" s="256" t="s">
        <v>1092</v>
      </c>
      <c r="T23" s="258" t="s">
        <v>1093</v>
      </c>
      <c r="AD23" t="s">
        <v>25</v>
      </c>
    </row>
    <row r="24" spans="5:35">
      <c r="O24" s="99"/>
      <c r="P24" s="99"/>
      <c r="Q24" s="256"/>
      <c r="R24" s="257"/>
      <c r="S24" s="256"/>
      <c r="T24" s="258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4790</v>
      </c>
      <c r="B5" t="s">
        <v>4807</v>
      </c>
    </row>
    <row r="6" spans="1:3">
      <c r="A6" t="s">
        <v>4800</v>
      </c>
      <c r="B6" t="s">
        <v>4808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4723</v>
      </c>
      <c r="B2" s="95">
        <v>10300</v>
      </c>
      <c r="C2" s="95">
        <v>0</v>
      </c>
      <c r="D2" s="99" t="s">
        <v>4733</v>
      </c>
      <c r="E2" s="96"/>
      <c r="F2" s="96"/>
      <c r="G2" s="96"/>
    </row>
    <row r="3" spans="1:7">
      <c r="A3" s="99" t="s">
        <v>4723</v>
      </c>
      <c r="B3" s="95">
        <v>0</v>
      </c>
      <c r="C3" s="95">
        <v>5500</v>
      </c>
      <c r="D3" s="99" t="s">
        <v>4734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4740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4752</v>
      </c>
      <c r="B6" s="95">
        <v>0</v>
      </c>
      <c r="C6" s="95">
        <v>3000</v>
      </c>
      <c r="D6" s="99" t="s">
        <v>4756</v>
      </c>
      <c r="E6" s="96"/>
      <c r="F6" s="96"/>
      <c r="G6" s="96"/>
    </row>
    <row r="7" spans="1:7">
      <c r="A7" s="99" t="s">
        <v>4752</v>
      </c>
      <c r="B7" s="95">
        <v>9200</v>
      </c>
      <c r="C7" s="95">
        <v>0</v>
      </c>
      <c r="D7" s="99" t="s">
        <v>4733</v>
      </c>
      <c r="E7" s="96"/>
      <c r="F7" s="96"/>
      <c r="G7" s="96"/>
    </row>
    <row r="8" spans="1:7">
      <c r="A8" s="99" t="s">
        <v>4754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4762</v>
      </c>
      <c r="B10" s="95">
        <v>10200</v>
      </c>
      <c r="C10" s="95">
        <v>0</v>
      </c>
      <c r="D10" s="99" t="s">
        <v>4733</v>
      </c>
      <c r="E10" s="96"/>
      <c r="F10" s="96"/>
      <c r="G10" s="96"/>
    </row>
    <row r="11" spans="1:7">
      <c r="A11" s="99" t="s">
        <v>4779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4799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4800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4831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4814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4733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4836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4839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4842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4849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4849</v>
      </c>
      <c r="B22" s="95">
        <v>9600</v>
      </c>
      <c r="C22" s="95">
        <v>0</v>
      </c>
      <c r="D22" s="99" t="s">
        <v>4733</v>
      </c>
      <c r="E22" s="96"/>
      <c r="F22" s="96"/>
      <c r="G22" s="96"/>
      <c r="I22" t="s">
        <v>25</v>
      </c>
    </row>
    <row r="23" spans="1:9">
      <c r="A23" s="99" t="s">
        <v>4856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4861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4870</v>
      </c>
      <c r="B25" s="95">
        <v>0</v>
      </c>
      <c r="C25" s="95">
        <v>1000</v>
      </c>
      <c r="D25" s="99" t="s">
        <v>315</v>
      </c>
    </row>
    <row r="26" spans="1:9">
      <c r="A26" s="99" t="s">
        <v>4903</v>
      </c>
      <c r="B26" s="95">
        <v>0</v>
      </c>
      <c r="C26" s="95">
        <v>12000</v>
      </c>
      <c r="D26" s="99" t="s">
        <v>4914</v>
      </c>
    </row>
    <row r="27" spans="1:9">
      <c r="A27" s="99" t="s">
        <v>4904</v>
      </c>
      <c r="B27" s="95">
        <v>0</v>
      </c>
      <c r="C27" s="95">
        <v>1000</v>
      </c>
      <c r="D27" s="99" t="s">
        <v>315</v>
      </c>
    </row>
    <row r="28" spans="1:9">
      <c r="A28" s="99" t="s">
        <v>4915</v>
      </c>
      <c r="B28" s="95">
        <v>0</v>
      </c>
      <c r="C28" s="95">
        <v>1000</v>
      </c>
      <c r="D28" s="99" t="s">
        <v>315</v>
      </c>
    </row>
    <row r="29" spans="1:9">
      <c r="A29" s="99" t="s">
        <v>4917</v>
      </c>
      <c r="B29" s="95">
        <v>0</v>
      </c>
      <c r="C29" s="95">
        <v>1000</v>
      </c>
      <c r="D29" s="99" t="s">
        <v>315</v>
      </c>
    </row>
    <row r="30" spans="1:9">
      <c r="A30" s="99" t="s">
        <v>4918</v>
      </c>
      <c r="B30" s="95">
        <v>0</v>
      </c>
      <c r="C30" s="95">
        <v>5500</v>
      </c>
      <c r="D30" s="99" t="s">
        <v>4734</v>
      </c>
    </row>
    <row r="31" spans="1:9">
      <c r="A31" s="99" t="s">
        <v>4918</v>
      </c>
      <c r="B31" s="95">
        <v>11000</v>
      </c>
      <c r="C31" s="95">
        <v>0</v>
      </c>
      <c r="D31" s="99" t="s">
        <v>4733</v>
      </c>
    </row>
    <row r="32" spans="1:9">
      <c r="A32" s="99" t="s">
        <v>4926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4929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4931</v>
      </c>
      <c r="B34" s="95">
        <v>0</v>
      </c>
      <c r="C34" s="95">
        <v>1000</v>
      </c>
      <c r="D34" s="99" t="s">
        <v>315</v>
      </c>
    </row>
    <row r="35" spans="1:10">
      <c r="A35" s="99" t="s">
        <v>4932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4937</v>
      </c>
      <c r="B36" s="95">
        <v>1000</v>
      </c>
      <c r="C36" s="95">
        <v>0</v>
      </c>
      <c r="D36" s="99" t="s">
        <v>315</v>
      </c>
    </row>
    <row r="37" spans="1:10">
      <c r="A37" s="99" t="s">
        <v>4937</v>
      </c>
      <c r="B37" s="95">
        <v>0</v>
      </c>
      <c r="C37" s="95">
        <v>11200</v>
      </c>
      <c r="D37" s="99" t="s">
        <v>4733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4754</v>
      </c>
      <c r="B48" s="225">
        <v>6700</v>
      </c>
      <c r="C48" s="225">
        <v>0</v>
      </c>
      <c r="D48" s="23" t="s">
        <v>4757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2019-06-03T09:03:51Z</dcterms:modified>
</cp:coreProperties>
</file>