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78" i="52" l="1"/>
  <c r="V187" i="18"/>
  <c r="W187" i="18" s="1"/>
  <c r="X187" i="18"/>
  <c r="S187" i="18"/>
  <c r="O278" i="52"/>
  <c r="P28" i="18" l="1"/>
  <c r="N28" i="18" s="1"/>
  <c r="P22" i="18"/>
  <c r="N22" i="18" s="1"/>
  <c r="N46" i="18"/>
  <c r="I150"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61" i="18"/>
  <c r="D388" i="15" l="1"/>
  <c r="F389" i="15"/>
  <c r="J275" i="52"/>
  <c r="F388" i="15" l="1"/>
  <c r="D387" i="15"/>
  <c r="W360" i="18"/>
  <c r="D386" i="15" l="1"/>
  <c r="F387" i="15"/>
  <c r="J274" i="52"/>
  <c r="D385" i="15" l="1"/>
  <c r="F386" i="15"/>
  <c r="W359" i="18"/>
  <c r="D384" i="15" l="1"/>
  <c r="F385" i="15"/>
  <c r="J271" i="52"/>
  <c r="F384" i="15" l="1"/>
  <c r="D383" i="15"/>
  <c r="J146" i="18"/>
  <c r="W358" i="18"/>
  <c r="G145" i="18"/>
  <c r="J145" i="18" s="1"/>
  <c r="N44" i="18"/>
  <c r="D382" i="15" l="1"/>
  <c r="F383" i="15"/>
  <c r="O269" i="52"/>
  <c r="D381" i="15" l="1"/>
  <c r="F382" i="15"/>
  <c r="D115" i="58"/>
  <c r="J268" i="52"/>
  <c r="N268" i="52"/>
  <c r="W357"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J279" i="52"/>
  <c r="N279" i="52"/>
  <c r="O279" i="52"/>
  <c r="J280" i="52"/>
  <c r="N280" i="52"/>
  <c r="O280" i="52"/>
  <c r="J281" i="52"/>
  <c r="N281" i="52"/>
  <c r="O281" i="52"/>
  <c r="J282" i="52"/>
  <c r="N282" i="52"/>
  <c r="O282" i="52"/>
  <c r="P275" i="52" l="1"/>
  <c r="P277" i="52"/>
  <c r="F380" i="15"/>
  <c r="D379" i="15"/>
  <c r="P274" i="52"/>
  <c r="P271" i="52"/>
  <c r="P281" i="52"/>
  <c r="P273" i="52"/>
  <c r="P282" i="52"/>
  <c r="P280" i="52"/>
  <c r="P279" i="52"/>
  <c r="P272" i="52"/>
  <c r="P270" i="52"/>
  <c r="D378" i="15" l="1"/>
  <c r="F379" i="15"/>
  <c r="J263" i="52"/>
  <c r="D377" i="15" l="1"/>
  <c r="F378" i="15"/>
  <c r="W356" i="18"/>
  <c r="W355"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L50" i="18"/>
  <c r="D372" i="15" l="1"/>
  <c r="F373" i="15"/>
  <c r="W3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53" i="18"/>
  <c r="W352" i="18"/>
  <c r="W351" i="18"/>
  <c r="D364" i="15" l="1"/>
  <c r="F365" i="15"/>
  <c r="O223" i="52"/>
  <c r="W350" i="18"/>
  <c r="F364" i="15" l="1"/>
  <c r="D363" i="15"/>
  <c r="J222" i="52"/>
  <c r="W349" i="18"/>
  <c r="D362" i="15" l="1"/>
  <c r="F363" i="15"/>
  <c r="W348" i="18"/>
  <c r="W347" i="18"/>
  <c r="D361" i="15" l="1"/>
  <c r="F362" i="15"/>
  <c r="O220" i="52"/>
  <c r="F361" i="15" l="1"/>
  <c r="D360" i="15"/>
  <c r="W346" i="18"/>
  <c r="W345"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4" i="18"/>
  <c r="J144" i="18" s="1"/>
  <c r="G143" i="18"/>
  <c r="W343" i="18"/>
  <c r="J143" i="18" l="1"/>
  <c r="I147" i="18" s="1"/>
  <c r="J150" i="18"/>
  <c r="F348" i="15"/>
  <c r="D347" i="15"/>
  <c r="O210" i="52"/>
  <c r="W342" i="18"/>
  <c r="D346" i="15" l="1"/>
  <c r="F347" i="15"/>
  <c r="J210" i="52"/>
  <c r="D345" i="15" l="1"/>
  <c r="F346" i="15"/>
  <c r="J209" i="52"/>
  <c r="O208" i="52"/>
  <c r="J208" i="52"/>
  <c r="D344" i="15" l="1"/>
  <c r="F345" i="15"/>
  <c r="W341" i="18"/>
  <c r="F344" i="15" l="1"/>
  <c r="D343" i="15"/>
  <c r="O207" i="52"/>
  <c r="J207" i="52"/>
  <c r="W340" i="18"/>
  <c r="D342" i="15" l="1"/>
  <c r="F343" i="15"/>
  <c r="W339" i="18"/>
  <c r="D341" i="15" l="1"/>
  <c r="F342" i="15"/>
  <c r="W338" i="18"/>
  <c r="D340" i="15" l="1"/>
  <c r="F341" i="15"/>
  <c r="O204" i="52"/>
  <c r="F340" i="15" l="1"/>
  <c r="D339" i="15"/>
  <c r="J203" i="52"/>
  <c r="U364" i="18"/>
  <c r="W33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36" i="18"/>
  <c r="W335" i="18"/>
  <c r="W334" i="18"/>
  <c r="J202" i="52"/>
  <c r="D336" i="15" l="1"/>
  <c r="F337" i="15"/>
  <c r="W333" i="18"/>
  <c r="J201" i="52"/>
  <c r="W332" i="18"/>
  <c r="AB93" i="52"/>
  <c r="F336" i="15" l="1"/>
  <c r="D335" i="15"/>
  <c r="AC93" i="52"/>
  <c r="J200" i="52"/>
  <c r="D334" i="15" l="1"/>
  <c r="F335" i="15"/>
  <c r="W331" i="18"/>
  <c r="W330" i="18"/>
  <c r="AL222" i="18"/>
  <c r="AL221" i="18" s="1"/>
  <c r="AL220" i="18" l="1"/>
  <c r="AM221" i="18"/>
  <c r="F334" i="15"/>
  <c r="D333" i="15"/>
  <c r="AM222" i="18"/>
  <c r="W329" i="18"/>
  <c r="P29" i="18"/>
  <c r="N29" i="18" s="1"/>
  <c r="P23" i="18"/>
  <c r="AL219" i="18" l="1"/>
  <c r="AM220" i="18"/>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28" i="18"/>
  <c r="AM217" i="18" l="1"/>
  <c r="AL216" i="18"/>
  <c r="F330" i="15"/>
  <c r="D329" i="15"/>
  <c r="AM216" i="18" l="1"/>
  <c r="AL215" i="18"/>
  <c r="D328" i="15"/>
  <c r="F329" i="15"/>
  <c r="W327" i="18"/>
  <c r="AL214" i="18" l="1"/>
  <c r="AM215" i="18"/>
  <c r="D327" i="15"/>
  <c r="F328" i="15"/>
  <c r="W326" i="18"/>
  <c r="AB92" i="52"/>
  <c r="AB102" i="52" s="1"/>
  <c r="AB103" i="52" s="1"/>
  <c r="AM214" i="18" l="1"/>
  <c r="AL213" i="18"/>
  <c r="F327" i="15"/>
  <c r="D326" i="15"/>
  <c r="AC92" i="52"/>
  <c r="AL212" i="18" l="1"/>
  <c r="AM213" i="18"/>
  <c r="F326" i="15"/>
  <c r="D325" i="15"/>
  <c r="J195" i="52"/>
  <c r="O195" i="52"/>
  <c r="J194" i="52"/>
  <c r="W325" i="18"/>
  <c r="O13" i="18"/>
  <c r="AL211" i="18" l="1"/>
  <c r="AM212" i="18"/>
  <c r="F325" i="15"/>
  <c r="D324" i="15"/>
  <c r="N194" i="52"/>
  <c r="W324" i="18"/>
  <c r="W323" i="18"/>
  <c r="AB91" i="52"/>
  <c r="AL210" i="18" l="1"/>
  <c r="AM211" i="18"/>
  <c r="F324" i="15"/>
  <c r="D323" i="15"/>
  <c r="AC91" i="52"/>
  <c r="AB90" i="52"/>
  <c r="W322" i="18"/>
  <c r="AB89" i="52"/>
  <c r="AB101" i="52" s="1"/>
  <c r="AM210" i="18" l="1"/>
  <c r="AL209" i="18"/>
  <c r="F323" i="15"/>
  <c r="D322" i="15"/>
  <c r="AC89" i="52"/>
  <c r="AC90" i="52"/>
  <c r="R196" i="18"/>
  <c r="AL208" i="18" l="1"/>
  <c r="AM209" i="18"/>
  <c r="F322" i="15"/>
  <c r="D321" i="15"/>
  <c r="W321" i="18"/>
  <c r="AM208" i="18" l="1"/>
  <c r="AL207" i="18"/>
  <c r="F321" i="15"/>
  <c r="D320" i="15"/>
  <c r="G131" i="18"/>
  <c r="J131" i="18" s="1"/>
  <c r="G130" i="18"/>
  <c r="J130" i="18" s="1"/>
  <c r="W320" i="18"/>
  <c r="O190" i="52"/>
  <c r="J190" i="52"/>
  <c r="AL206" i="18" l="1"/>
  <c r="AM207" i="18"/>
  <c r="F320" i="15"/>
  <c r="D319" i="15"/>
  <c r="W319" i="18"/>
  <c r="AB88" i="52"/>
  <c r="AM206" i="18" l="1"/>
  <c r="AL205" i="18"/>
  <c r="F319" i="15"/>
  <c r="D318" i="15"/>
  <c r="AC88" i="52"/>
  <c r="N52" i="18"/>
  <c r="N50" i="18"/>
  <c r="AM205" i="18" l="1"/>
  <c r="AL204" i="18"/>
  <c r="F318" i="15"/>
  <c r="D317" i="15"/>
  <c r="O187" i="52"/>
  <c r="W318" i="18"/>
  <c r="AM204" i="18" l="1"/>
  <c r="AL203" i="18"/>
  <c r="F317" i="15"/>
  <c r="D316" i="15"/>
  <c r="J186" i="52"/>
  <c r="W317" i="18"/>
  <c r="W305" i="18"/>
  <c r="W304" i="18"/>
  <c r="AM203" i="18" l="1"/>
  <c r="AL202" i="18"/>
  <c r="F316" i="15"/>
  <c r="D315" i="15"/>
  <c r="J185" i="52"/>
  <c r="W316"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15" i="18"/>
  <c r="B8" i="36"/>
  <c r="AL197" i="18" l="1"/>
  <c r="AM198" i="18"/>
  <c r="F311" i="15"/>
  <c r="D310" i="15"/>
  <c r="O178" i="52"/>
  <c r="J178" i="52"/>
  <c r="AM197" i="18" l="1"/>
  <c r="AL196" i="18"/>
  <c r="F310" i="15"/>
  <c r="D309" i="15"/>
  <c r="N23" i="18"/>
  <c r="N48" i="18"/>
  <c r="W314"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13" i="18"/>
  <c r="AB81" i="52"/>
  <c r="AB80" i="52"/>
  <c r="AM193" i="18" l="1"/>
  <c r="AL192" i="18"/>
  <c r="AB100" i="52"/>
  <c r="AB99" i="52"/>
  <c r="AC80" i="52"/>
  <c r="AC81" i="52"/>
  <c r="J168" i="52"/>
  <c r="O168" i="52"/>
  <c r="W312" i="18"/>
  <c r="AM192" i="18" l="1"/>
  <c r="AL191" i="18"/>
  <c r="AM191" i="18" s="1"/>
  <c r="AL375" i="18"/>
  <c r="AL374" i="18" s="1"/>
  <c r="O167" i="52"/>
  <c r="W311" i="18"/>
  <c r="AL367" i="18" l="1"/>
  <c r="AM374" i="18"/>
  <c r="AM375" i="18"/>
  <c r="O166" i="52"/>
  <c r="W310" i="18"/>
  <c r="AM367" i="18" l="1"/>
  <c r="AL366" i="18"/>
  <c r="W309" i="18"/>
  <c r="O165" i="52"/>
  <c r="J165" i="52"/>
  <c r="AL365" i="18" l="1"/>
  <c r="AM366" i="18"/>
  <c r="C7" i="60"/>
  <c r="D3" i="60"/>
  <c r="D4" i="60"/>
  <c r="D5" i="60"/>
  <c r="D2" i="60"/>
  <c r="F2" i="60"/>
  <c r="AM365" i="18" l="1"/>
  <c r="AL364" i="18"/>
  <c r="O162" i="52"/>
  <c r="J162" i="52"/>
  <c r="W308" i="18"/>
  <c r="AL363" i="18" l="1"/>
  <c r="AM364"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3" i="18" l="1"/>
  <c r="AL362" i="18"/>
  <c r="P203" i="52"/>
  <c r="P204" i="52"/>
  <c r="P201" i="52"/>
  <c r="P200" i="52"/>
  <c r="P190" i="52"/>
  <c r="P187" i="52"/>
  <c r="P177" i="52"/>
  <c r="P186" i="52"/>
  <c r="P185" i="52"/>
  <c r="P176" i="52"/>
  <c r="P162" i="52"/>
  <c r="P166" i="52"/>
  <c r="P174" i="52"/>
  <c r="P168" i="52"/>
  <c r="P165" i="52"/>
  <c r="P167" i="52"/>
  <c r="O160" i="52"/>
  <c r="J160" i="52"/>
  <c r="N160" i="52"/>
  <c r="AB79" i="52"/>
  <c r="AL361" i="18" l="1"/>
  <c r="AM362" i="18"/>
  <c r="AC79" i="52"/>
  <c r="W307" i="18"/>
  <c r="AB78" i="52"/>
  <c r="AC78" i="52" s="1"/>
  <c r="AL360" i="18" l="1"/>
  <c r="AM361" i="18"/>
  <c r="W306" i="18"/>
  <c r="AL359" i="18" l="1"/>
  <c r="AM360" i="18"/>
  <c r="AL190" i="18"/>
  <c r="AF76" i="52"/>
  <c r="AB77" i="52"/>
  <c r="AC77" i="52" s="1"/>
  <c r="AB76" i="52"/>
  <c r="AC76" i="52" s="1"/>
  <c r="AM359" i="18" l="1"/>
  <c r="AL358" i="18"/>
  <c r="AL189" i="18"/>
  <c r="AM190" i="18"/>
  <c r="N159" i="52"/>
  <c r="P160" i="52" s="1"/>
  <c r="W303" i="18"/>
  <c r="AL357" i="18" l="1"/>
  <c r="AM35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7" i="18" l="1"/>
  <c r="AL356" i="18"/>
  <c r="AL187" i="18"/>
  <c r="AM188" i="18"/>
  <c r="M105" i="18"/>
  <c r="AL355" i="18" l="1"/>
  <c r="AM356" i="18"/>
  <c r="AM187" i="18"/>
  <c r="AL186" i="18"/>
  <c r="G122" i="18"/>
  <c r="J122" i="18" s="1"/>
  <c r="J151" i="52"/>
  <c r="AM355" i="18" l="1"/>
  <c r="AL354" i="18"/>
  <c r="AL185" i="18"/>
  <c r="AM186" i="18"/>
  <c r="W302" i="18"/>
  <c r="K111" i="18"/>
  <c r="W301" i="18"/>
  <c r="O150" i="52"/>
  <c r="AL353" i="18" l="1"/>
  <c r="AM354" i="18"/>
  <c r="AM185" i="18"/>
  <c r="AL184" i="18"/>
  <c r="AM353" i="18" l="1"/>
  <c r="AL352" i="18"/>
  <c r="AL183" i="18"/>
  <c r="AM184" i="18"/>
  <c r="AD59" i="52"/>
  <c r="Q146" i="52"/>
  <c r="J146" i="52"/>
  <c r="W30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1" i="18" l="1"/>
  <c r="AM352" i="18"/>
  <c r="AM183" i="18"/>
  <c r="AL182" i="18"/>
  <c r="P151" i="52"/>
  <c r="P150" i="52"/>
  <c r="P157" i="52"/>
  <c r="P148" i="52"/>
  <c r="P158" i="52"/>
  <c r="P156" i="52"/>
  <c r="P155" i="52"/>
  <c r="P154" i="52"/>
  <c r="P153" i="52"/>
  <c r="P152" i="52"/>
  <c r="P149" i="52"/>
  <c r="P147" i="52"/>
  <c r="O145" i="52"/>
  <c r="J145" i="52"/>
  <c r="J144" i="52"/>
  <c r="J143" i="52"/>
  <c r="AM351" i="18" l="1"/>
  <c r="AL350" i="18"/>
  <c r="AL181" i="18"/>
  <c r="AM182" i="18"/>
  <c r="W299" i="18"/>
  <c r="AM350" i="18" l="1"/>
  <c r="AL349" i="18"/>
  <c r="AM181" i="18"/>
  <c r="AL180" i="18"/>
  <c r="G137" i="18"/>
  <c r="J137" i="18" s="1"/>
  <c r="J139" i="18" s="1"/>
  <c r="I139" i="18" s="1"/>
  <c r="G129" i="18"/>
  <c r="J129" i="18" s="1"/>
  <c r="W298" i="18"/>
  <c r="AL348" i="18" l="1"/>
  <c r="AM349" i="18"/>
  <c r="J133" i="18"/>
  <c r="I133" i="18" s="1"/>
  <c r="AM180" i="18"/>
  <c r="AL179" i="18"/>
  <c r="O142" i="52"/>
  <c r="J142" i="52"/>
  <c r="N43" i="18"/>
  <c r="W297" i="18"/>
  <c r="P24" i="18"/>
  <c r="AM348" i="18" l="1"/>
  <c r="AL347" i="18"/>
  <c r="AM179" i="18"/>
  <c r="AL178" i="18"/>
  <c r="AM178" i="18" s="1"/>
  <c r="P27" i="18"/>
  <c r="N27" i="18" s="1"/>
  <c r="O140" i="52"/>
  <c r="J140" i="52"/>
  <c r="W296" i="18"/>
  <c r="AM347" i="18" l="1"/>
  <c r="AL346" i="18"/>
  <c r="W295" i="18"/>
  <c r="W294" i="18"/>
  <c r="O139" i="52"/>
  <c r="J139" i="52"/>
  <c r="AB73" i="52"/>
  <c r="AL345" i="18" l="1"/>
  <c r="AM346" i="18"/>
  <c r="AD73" i="52"/>
  <c r="AC73" i="52"/>
  <c r="W293" i="18"/>
  <c r="AL344" i="18" l="1"/>
  <c r="AM345" i="18"/>
  <c r="AB72" i="52"/>
  <c r="AD72" i="52" s="1"/>
  <c r="AB71" i="52"/>
  <c r="AD71" i="52" s="1"/>
  <c r="AL343" i="18" l="1"/>
  <c r="AM344" i="18"/>
  <c r="AC72" i="52"/>
  <c r="AC71" i="52"/>
  <c r="M41" i="52"/>
  <c r="AL342" i="18" l="1"/>
  <c r="AM343" i="18"/>
  <c r="O135" i="52"/>
  <c r="J135" i="52"/>
  <c r="AD57" i="52"/>
  <c r="AB69" i="52"/>
  <c r="AD69" i="52" s="1"/>
  <c r="AB70" i="52"/>
  <c r="AD70" i="52" s="1"/>
  <c r="AM342" i="18" l="1"/>
  <c r="AL341" i="18"/>
  <c r="AC70" i="52"/>
  <c r="AC69" i="52"/>
  <c r="AL340" i="18" l="1"/>
  <c r="AM341" i="18"/>
  <c r="W292" i="18"/>
  <c r="AL339" i="18" l="1"/>
  <c r="AM340" i="18"/>
  <c r="O132" i="52"/>
  <c r="W291" i="18"/>
  <c r="AL338" i="18" l="1"/>
  <c r="AM339" i="18"/>
  <c r="O131" i="52"/>
  <c r="J3" i="60"/>
  <c r="J4" i="60"/>
  <c r="J5" i="60"/>
  <c r="J2" i="60"/>
  <c r="I9" i="60"/>
  <c r="I7" i="60"/>
  <c r="AL337" i="18" l="1"/>
  <c r="AM338" i="18"/>
  <c r="O130" i="52"/>
  <c r="O129" i="52"/>
  <c r="W290" i="18"/>
  <c r="S262" i="18"/>
  <c r="W289" i="18"/>
  <c r="AL336" i="18" l="1"/>
  <c r="AM337" i="18"/>
  <c r="N129" i="52"/>
  <c r="AM336" i="18" l="1"/>
  <c r="AL335" i="18"/>
  <c r="O127" i="52"/>
  <c r="AM335" i="18" l="1"/>
  <c r="AL334" i="18"/>
  <c r="J126" i="52"/>
  <c r="O126" i="52"/>
  <c r="W288" i="18"/>
  <c r="AL333" i="18" l="1"/>
  <c r="AM334" i="18"/>
  <c r="O125" i="52"/>
  <c r="J125" i="52"/>
  <c r="AM333" i="18" l="1"/>
  <c r="AL332" i="18"/>
  <c r="W287" i="18"/>
  <c r="AM332" i="18" l="1"/>
  <c r="AL33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6" i="18"/>
  <c r="AM331" i="18" l="1"/>
  <c r="AL330"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0" i="18" l="1"/>
  <c r="AL329" i="18"/>
  <c r="W285" i="18"/>
  <c r="AM329" i="18" l="1"/>
  <c r="AL328" i="18"/>
  <c r="AM328" i="18" l="1"/>
  <c r="AL327" i="18"/>
  <c r="O121" i="52"/>
  <c r="J121" i="52"/>
  <c r="W284" i="18"/>
  <c r="AM327" i="18" l="1"/>
  <c r="AL326" i="18"/>
  <c r="W283" i="18"/>
  <c r="J120" i="52"/>
  <c r="M106" i="18"/>
  <c r="AL325" i="18" l="1"/>
  <c r="AM326" i="18"/>
  <c r="AM325" i="18" l="1"/>
  <c r="AL324" i="18"/>
  <c r="O117" i="52"/>
  <c r="AM324" i="18" l="1"/>
  <c r="AL323" i="18"/>
  <c r="O116" i="52"/>
  <c r="N116" i="52"/>
  <c r="AM323" i="18" l="1"/>
  <c r="AL322" i="18"/>
  <c r="W282" i="18"/>
  <c r="AL321" i="18" l="1"/>
  <c r="AM32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1" i="18" l="1"/>
  <c r="AL320" i="18"/>
  <c r="AL319" i="18" l="1"/>
  <c r="AM320" i="18"/>
  <c r="AM319" i="18" l="1"/>
  <c r="AL318" i="18"/>
  <c r="AM318" i="18" l="1"/>
  <c r="AL317"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7" i="18" l="1"/>
  <c r="AL31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6" i="18" l="1"/>
  <c r="AL315" i="18"/>
  <c r="P120" i="52"/>
  <c r="P121" i="52"/>
  <c r="D305" i="15"/>
  <c r="F305" i="15" s="1"/>
  <c r="P112" i="52"/>
  <c r="P113" i="52"/>
  <c r="P118" i="52"/>
  <c r="P122" i="52"/>
  <c r="P119" i="52"/>
  <c r="P114" i="52"/>
  <c r="P115" i="52"/>
  <c r="O110" i="52"/>
  <c r="AM315" i="18" l="1"/>
  <c r="AL314" i="18"/>
  <c r="D304" i="15"/>
  <c r="F304" i="15" s="1"/>
  <c r="W281" i="18"/>
  <c r="J108" i="52"/>
  <c r="AL313" i="18" l="1"/>
  <c r="AM314" i="18"/>
  <c r="D303" i="15"/>
  <c r="F303" i="15" s="1"/>
  <c r="W280" i="18"/>
  <c r="W279" i="18"/>
  <c r="AM313" i="18" l="1"/>
  <c r="AL312" i="18"/>
  <c r="D302" i="15"/>
  <c r="F302" i="15" s="1"/>
  <c r="O106" i="52"/>
  <c r="J106" i="52"/>
  <c r="AM312" i="18" l="1"/>
  <c r="AL311" i="18"/>
  <c r="D301" i="15"/>
  <c r="F301" i="15" s="1"/>
  <c r="J104" i="52"/>
  <c r="G121" i="18"/>
  <c r="J121" i="18" s="1"/>
  <c r="J125" i="18" s="1"/>
  <c r="I125" i="18" s="1"/>
  <c r="E276" i="15"/>
  <c r="E277" i="15"/>
  <c r="E278" i="15"/>
  <c r="E279" i="15"/>
  <c r="E280" i="15"/>
  <c r="AM311" i="18" l="1"/>
  <c r="AL310" i="18"/>
  <c r="D300" i="15"/>
  <c r="F300" i="15" s="1"/>
  <c r="W278" i="18"/>
  <c r="AM310" i="18" l="1"/>
  <c r="AL309" i="18"/>
  <c r="D299" i="15"/>
  <c r="F299" i="15" s="1"/>
  <c r="E7" i="60"/>
  <c r="N3" i="60"/>
  <c r="F3" i="60"/>
  <c r="F4" i="60"/>
  <c r="F5" i="60"/>
  <c r="F6" i="60"/>
  <c r="AM309" i="18" l="1"/>
  <c r="AL30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7" i="18"/>
  <c r="AM308" i="18" l="1"/>
  <c r="AL30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7" i="18" l="1"/>
  <c r="AL306" i="18"/>
  <c r="K21" i="60"/>
  <c r="I23" i="60"/>
  <c r="D296" i="15"/>
  <c r="F296" i="15" s="1"/>
  <c r="AM306" i="18" l="1"/>
  <c r="AL305" i="18"/>
  <c r="D295" i="15"/>
  <c r="F295" i="15" s="1"/>
  <c r="AL304" i="18" l="1"/>
  <c r="AM305"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3" i="18" l="1"/>
  <c r="AM304" i="18"/>
  <c r="P108" i="52"/>
  <c r="D293" i="15"/>
  <c r="F293" i="15" s="1"/>
  <c r="P111" i="52"/>
  <c r="P110" i="52"/>
  <c r="P106" i="52"/>
  <c r="P104" i="52"/>
  <c r="P107" i="52"/>
  <c r="P105" i="52"/>
  <c r="P99" i="52"/>
  <c r="P109" i="52"/>
  <c r="P103" i="52"/>
  <c r="P102" i="52"/>
  <c r="P101" i="52"/>
  <c r="P100" i="52"/>
  <c r="AL302" i="18" l="1"/>
  <c r="AM303" i="18"/>
  <c r="D292" i="15"/>
  <c r="F292" i="15" s="1"/>
  <c r="R397" i="18"/>
  <c r="J90" i="52"/>
  <c r="J95" i="52"/>
  <c r="W276" i="18"/>
  <c r="AJ223" i="18"/>
  <c r="AL301" i="18" l="1"/>
  <c r="AM302" i="18"/>
  <c r="D291" i="15"/>
  <c r="F291" i="15" s="1"/>
  <c r="F51" i="14"/>
  <c r="F52" i="14"/>
  <c r="F53" i="14"/>
  <c r="F54" i="14"/>
  <c r="F55" i="14"/>
  <c r="F56" i="14"/>
  <c r="F57" i="14"/>
  <c r="F58" i="14"/>
  <c r="F59" i="14"/>
  <c r="F60" i="14"/>
  <c r="F61" i="14"/>
  <c r="AL300" i="18" l="1"/>
  <c r="AM301" i="18"/>
  <c r="D290" i="15"/>
  <c r="F290" i="15" s="1"/>
  <c r="N92" i="52"/>
  <c r="O92" i="52"/>
  <c r="N93" i="52"/>
  <c r="O93" i="52"/>
  <c r="N94" i="52"/>
  <c r="O94" i="52"/>
  <c r="N95" i="52"/>
  <c r="O95" i="52"/>
  <c r="N96" i="52"/>
  <c r="O96" i="52"/>
  <c r="N97" i="52"/>
  <c r="O97" i="52"/>
  <c r="J92" i="52"/>
  <c r="J93" i="52"/>
  <c r="J94" i="52"/>
  <c r="J96" i="52"/>
  <c r="AL299" i="18" l="1"/>
  <c r="AM300" i="18"/>
  <c r="D289" i="15"/>
  <c r="F289" i="15" s="1"/>
  <c r="P97" i="52"/>
  <c r="P98" i="52"/>
  <c r="P95" i="52"/>
  <c r="P96" i="52"/>
  <c r="P94" i="52"/>
  <c r="P93" i="52"/>
  <c r="N91" i="52"/>
  <c r="P92" i="52" s="1"/>
  <c r="AM299" i="18" l="1"/>
  <c r="AL298" i="18"/>
  <c r="D288" i="15"/>
  <c r="F288" i="15" s="1"/>
  <c r="R312" i="18"/>
  <c r="T380" i="18" s="1"/>
  <c r="W275" i="18"/>
  <c r="W274" i="18"/>
  <c r="W273" i="18"/>
  <c r="M48" i="52"/>
  <c r="M47" i="52"/>
  <c r="N38" i="52"/>
  <c r="N37" i="52"/>
  <c r="M49" i="52"/>
  <c r="N50" i="52" s="1"/>
  <c r="AL297" i="18" l="1"/>
  <c r="AM298" i="18"/>
  <c r="D287" i="15"/>
  <c r="F287" i="15" s="1"/>
  <c r="N49" i="52"/>
  <c r="W272" i="18"/>
  <c r="AM297" i="18" l="1"/>
  <c r="AL296" i="18"/>
  <c r="D286" i="15"/>
  <c r="F286" i="15" s="1"/>
  <c r="AL295" i="18" l="1"/>
  <c r="AM296" i="18"/>
  <c r="D285" i="15"/>
  <c r="F285" i="15" s="1"/>
  <c r="W271" i="18"/>
  <c r="AM295" i="18" l="1"/>
  <c r="AL294" i="18"/>
  <c r="D284" i="15"/>
  <c r="F284" i="15" s="1"/>
  <c r="O90" i="52"/>
  <c r="O91" i="52"/>
  <c r="J91" i="52"/>
  <c r="AM294" i="18" l="1"/>
  <c r="AL293"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0" i="18"/>
  <c r="AL292" i="18" l="1"/>
  <c r="AM293" i="18"/>
  <c r="D282" i="15"/>
  <c r="F282" i="15" s="1"/>
  <c r="G32" i="57"/>
  <c r="H32" i="57"/>
  <c r="D32" i="57"/>
  <c r="I32" i="57" s="1"/>
  <c r="D345" i="20"/>
  <c r="W269" i="18"/>
  <c r="W268" i="18"/>
  <c r="AM292" i="18" l="1"/>
  <c r="AL291" i="18"/>
  <c r="D281" i="15"/>
  <c r="F281" i="15" s="1"/>
  <c r="W204" i="18"/>
  <c r="W20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0" i="18" l="1"/>
  <c r="AM291" i="18"/>
  <c r="D280" i="15"/>
  <c r="F280" i="15" s="1"/>
  <c r="C46" i="56"/>
  <c r="B46" i="56"/>
  <c r="AM290" i="18" l="1"/>
  <c r="AL289" i="18"/>
  <c r="D279" i="15"/>
  <c r="F279" i="15" s="1"/>
  <c r="O84" i="52"/>
  <c r="W267" i="18"/>
  <c r="D343" i="20"/>
  <c r="AL288" i="18" l="1"/>
  <c r="AM289" i="18"/>
  <c r="D278" i="15"/>
  <c r="F278" i="15" s="1"/>
  <c r="W266" i="18"/>
  <c r="D342" i="20"/>
  <c r="J83" i="52"/>
  <c r="O83" i="52"/>
  <c r="W265" i="18"/>
  <c r="W264" i="18"/>
  <c r="F44" i="14"/>
  <c r="F45" i="14"/>
  <c r="F46" i="14"/>
  <c r="F47" i="14"/>
  <c r="F48" i="14"/>
  <c r="F49" i="14"/>
  <c r="F50" i="14"/>
  <c r="D341" i="20"/>
  <c r="AM288" i="18" l="1"/>
  <c r="AL287" i="18"/>
  <c r="D277" i="15"/>
  <c r="F277" i="15" s="1"/>
  <c r="AJ376" i="18"/>
  <c r="AM287" i="18" l="1"/>
  <c r="AL286" i="18"/>
  <c r="AM286" i="18" s="1"/>
  <c r="D276" i="15"/>
  <c r="F276" i="15" s="1"/>
  <c r="W263" i="18"/>
  <c r="D340" i="20" l="1"/>
  <c r="W262" i="18"/>
  <c r="H337" i="20"/>
  <c r="H338" i="20"/>
  <c r="H339" i="20"/>
  <c r="H340" i="20"/>
  <c r="H341" i="20"/>
  <c r="H368" i="20"/>
  <c r="H369" i="20"/>
  <c r="D339" i="20"/>
  <c r="B371" i="20" l="1"/>
  <c r="D332" i="20"/>
  <c r="D333" i="20"/>
  <c r="D334" i="20"/>
  <c r="D335" i="20"/>
  <c r="D336" i="20"/>
  <c r="D337" i="20"/>
  <c r="D338" i="20"/>
  <c r="D369" i="20"/>
  <c r="W261" i="18" l="1"/>
  <c r="D80" i="57"/>
  <c r="AD46" i="52" l="1"/>
  <c r="AE46" i="52"/>
  <c r="G46" i="10"/>
  <c r="D331" i="20" l="1"/>
  <c r="D330" i="20" l="1"/>
  <c r="W260" i="18" l="1"/>
  <c r="W25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8" i="18" l="1"/>
  <c r="W257" i="18"/>
  <c r="Z40" i="52" l="1"/>
  <c r="Z39" i="52"/>
  <c r="Z38" i="52"/>
  <c r="AD38" i="52"/>
  <c r="AD39" i="52"/>
  <c r="AD40" i="52"/>
  <c r="AE40" i="52"/>
  <c r="AE39" i="52"/>
  <c r="AE38" i="52"/>
  <c r="R21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6" i="18"/>
  <c r="W255" i="18"/>
  <c r="L35" i="18"/>
  <c r="N36" i="52"/>
  <c r="N35" i="52"/>
  <c r="Q42" i="52"/>
  <c r="AD37" i="52"/>
  <c r="AD36" i="52"/>
  <c r="AD35" i="52"/>
  <c r="AD34" i="52"/>
  <c r="AD33" i="52"/>
  <c r="Z37" i="52"/>
  <c r="Z36" i="52"/>
  <c r="Z35" i="52"/>
  <c r="Z34" i="52"/>
  <c r="Z33" i="52"/>
  <c r="AE37" i="52"/>
  <c r="AE36" i="52"/>
  <c r="AE35" i="52"/>
  <c r="AE34" i="52"/>
  <c r="AE33" i="52"/>
  <c r="W254" i="18" l="1"/>
  <c r="W25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2" i="18" l="1"/>
  <c r="W251" i="18"/>
  <c r="AD31" i="52"/>
  <c r="AD30" i="52"/>
  <c r="Z31" i="52"/>
  <c r="Z30" i="52"/>
  <c r="AE31" i="52"/>
  <c r="AE30" i="52"/>
  <c r="AD29" i="52"/>
  <c r="Z29" i="52"/>
  <c r="AE29" i="52"/>
  <c r="AD28" i="52"/>
  <c r="Z28" i="52"/>
  <c r="AE28" i="52"/>
  <c r="N32" i="52"/>
  <c r="N31" i="52"/>
  <c r="W250" i="18" l="1"/>
  <c r="W249" i="18"/>
  <c r="N30" i="52"/>
  <c r="N29" i="52"/>
  <c r="AD27" i="52"/>
  <c r="Z27" i="52"/>
  <c r="AE27" i="52"/>
  <c r="W248" i="18" l="1"/>
  <c r="W247" i="18"/>
  <c r="N28" i="52"/>
  <c r="N27" i="52"/>
  <c r="AD26" i="52" l="1"/>
  <c r="AE26" i="52"/>
  <c r="AL285" i="18" l="1"/>
  <c r="D313" i="20"/>
  <c r="AL284" i="18" l="1"/>
  <c r="AM285" i="18"/>
  <c r="L112" i="18"/>
  <c r="L109" i="18" s="1"/>
  <c r="N109" i="18" s="1"/>
  <c r="L108" i="18" l="1"/>
  <c r="M112" i="18"/>
  <c r="AM284" i="18"/>
  <c r="AL283" i="18"/>
  <c r="L104" i="18"/>
  <c r="W246" i="18"/>
  <c r="W245" i="18"/>
  <c r="N24" i="52"/>
  <c r="N26" i="52"/>
  <c r="N25" i="52"/>
  <c r="AL282" i="18" l="1"/>
  <c r="AM283"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2" i="18"/>
  <c r="AL281" i="18"/>
  <c r="I370" i="20"/>
  <c r="J370" i="20"/>
  <c r="W244" i="18"/>
  <c r="W243" i="18"/>
  <c r="N23" i="52"/>
  <c r="N22" i="52"/>
  <c r="Z24" i="52"/>
  <c r="AD24" i="52"/>
  <c r="AE24" i="52"/>
  <c r="I368" i="20" l="1"/>
  <c r="G367" i="20"/>
  <c r="J368" i="20"/>
  <c r="K368" i="20"/>
  <c r="AL280" i="18"/>
  <c r="AM281" i="18"/>
  <c r="W242" i="18"/>
  <c r="W241" i="18"/>
  <c r="N21" i="52"/>
  <c r="N20" i="52"/>
  <c r="G366" i="20" l="1"/>
  <c r="I367" i="20"/>
  <c r="K367" i="20"/>
  <c r="J367" i="20"/>
  <c r="AL279" i="18"/>
  <c r="AM280" i="18"/>
  <c r="D309" i="20"/>
  <c r="J366" i="20" l="1"/>
  <c r="K366" i="20"/>
  <c r="I366" i="20"/>
  <c r="G365" i="20"/>
  <c r="AL278" i="18"/>
  <c r="AM279" i="18"/>
  <c r="D308" i="20"/>
  <c r="G364" i="20" l="1"/>
  <c r="I365" i="20"/>
  <c r="J365" i="20"/>
  <c r="K365" i="20"/>
  <c r="AL277" i="18"/>
  <c r="AM278" i="18"/>
  <c r="D307" i="20"/>
  <c r="I364" i="20" l="1"/>
  <c r="J364" i="20"/>
  <c r="K364" i="20"/>
  <c r="G363" i="20"/>
  <c r="AL276" i="18"/>
  <c r="AM277" i="18"/>
  <c r="AD23" i="52"/>
  <c r="Z23" i="52"/>
  <c r="AE23" i="52"/>
  <c r="Z22" i="52"/>
  <c r="AD22" i="52"/>
  <c r="AE22" i="52"/>
  <c r="AL177" i="18" l="1"/>
  <c r="G362" i="20"/>
  <c r="I363" i="20"/>
  <c r="J363" i="20"/>
  <c r="K363" i="20"/>
  <c r="AL275" i="18"/>
  <c r="AM276" i="18"/>
  <c r="W240" i="18"/>
  <c r="W239" i="18"/>
  <c r="AL176" i="18" l="1"/>
  <c r="AM177" i="18"/>
  <c r="K362" i="20"/>
  <c r="G361" i="20"/>
  <c r="I362" i="20"/>
  <c r="J362" i="20"/>
  <c r="AL274" i="18"/>
  <c r="AM275" i="18"/>
  <c r="AD21" i="52"/>
  <c r="AC21" i="52"/>
  <c r="AE21" i="52"/>
  <c r="AD20" i="52"/>
  <c r="AC20" i="52"/>
  <c r="AE20" i="52"/>
  <c r="AL175" i="18" l="1"/>
  <c r="AM176" i="18"/>
  <c r="I361" i="20"/>
  <c r="G360" i="20"/>
  <c r="J361" i="20"/>
  <c r="K361" i="20"/>
  <c r="AL273" i="18"/>
  <c r="AM274" i="18"/>
  <c r="G107" i="18"/>
  <c r="F107" i="18" s="1"/>
  <c r="G104" i="18"/>
  <c r="F104" i="18" s="1"/>
  <c r="N24" i="18"/>
  <c r="AL174" i="18" l="1"/>
  <c r="AM175" i="18"/>
  <c r="I360" i="20"/>
  <c r="K360" i="20"/>
  <c r="G359" i="20"/>
  <c r="J360" i="20"/>
  <c r="AL272" i="18"/>
  <c r="AM273" i="18"/>
  <c r="D306" i="20"/>
  <c r="AL173" i="18" l="1"/>
  <c r="AM174" i="18"/>
  <c r="G358" i="20"/>
  <c r="J359" i="20"/>
  <c r="K359" i="20"/>
  <c r="I359" i="20"/>
  <c r="AL271" i="18"/>
  <c r="AM272" i="18"/>
  <c r="D305" i="20"/>
  <c r="AL172" i="18" l="1"/>
  <c r="AM173" i="18"/>
  <c r="K358" i="20"/>
  <c r="I358" i="20"/>
  <c r="G357" i="20"/>
  <c r="J358" i="20"/>
  <c r="AL270" i="18"/>
  <c r="AM271" i="18"/>
  <c r="AD19" i="52"/>
  <c r="AD18" i="52"/>
  <c r="Z19" i="52"/>
  <c r="Z18" i="52"/>
  <c r="AE19" i="52"/>
  <c r="AE18" i="52"/>
  <c r="AL171" i="18" l="1"/>
  <c r="AM172" i="18"/>
  <c r="I357" i="20"/>
  <c r="J357" i="20"/>
  <c r="G356" i="20"/>
  <c r="K357" i="20"/>
  <c r="AM270" i="18"/>
  <c r="AL269" i="18"/>
  <c r="D304" i="20"/>
  <c r="W238" i="18"/>
  <c r="W237"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36" i="18"/>
  <c r="W235" i="18"/>
  <c r="D303" i="20"/>
  <c r="D302" i="20"/>
  <c r="W234"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2" i="18"/>
  <c r="AL163" i="18" l="1"/>
  <c r="AM164" i="18"/>
  <c r="I350" i="20"/>
  <c r="J350" i="20"/>
  <c r="K350" i="20"/>
  <c r="G349" i="20"/>
  <c r="AD14" i="52"/>
  <c r="AE14" i="52"/>
  <c r="AD13" i="52"/>
  <c r="AE13" i="52"/>
  <c r="Z14" i="52"/>
  <c r="D296" i="20"/>
  <c r="D295" i="20"/>
  <c r="AM163" i="18" l="1"/>
  <c r="AL162" i="18"/>
  <c r="K349" i="20"/>
  <c r="I349" i="20"/>
  <c r="J349" i="20"/>
  <c r="G348" i="20"/>
  <c r="W231" i="18"/>
  <c r="W230" i="18"/>
  <c r="L11" i="52"/>
  <c r="L10" i="52"/>
  <c r="AL268" i="18"/>
  <c r="AL267" i="18" s="1"/>
  <c r="AL26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9" i="18"/>
  <c r="AM268" i="18"/>
  <c r="AM267" i="18"/>
  <c r="W229" i="18"/>
  <c r="W228" i="18"/>
  <c r="AM161" i="18" l="1"/>
  <c r="AL160" i="18"/>
  <c r="G346" i="20"/>
  <c r="J347" i="20"/>
  <c r="I347" i="20"/>
  <c r="K347" i="20"/>
  <c r="D293" i="20"/>
  <c r="AL159" i="18" l="1"/>
  <c r="AM160" i="18"/>
  <c r="K346" i="20"/>
  <c r="G345" i="20"/>
  <c r="J346" i="20"/>
  <c r="I346" i="20"/>
  <c r="W227" i="18"/>
  <c r="AM159" i="18" l="1"/>
  <c r="AL158" i="18"/>
  <c r="K345" i="20"/>
  <c r="G344" i="20"/>
  <c r="J345" i="20"/>
  <c r="I345" i="20"/>
  <c r="D292" i="20"/>
  <c r="C8" i="36"/>
  <c r="W22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5" i="18"/>
  <c r="AL264" i="18" s="1"/>
  <c r="D288" i="20"/>
  <c r="AL153" i="18" l="1"/>
  <c r="AM154" i="18"/>
  <c r="I340" i="20"/>
  <c r="K340" i="20"/>
  <c r="G339" i="20"/>
  <c r="J340" i="20"/>
  <c r="AM266" i="18"/>
  <c r="AM265"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1" i="18"/>
  <c r="W224" i="18"/>
  <c r="D278" i="20"/>
  <c r="D269" i="15" l="1"/>
  <c r="F270" i="15"/>
  <c r="AL140" i="18"/>
  <c r="AM141" i="18"/>
  <c r="J327" i="20"/>
  <c r="K327" i="20"/>
  <c r="G326" i="20"/>
  <c r="I327" i="20"/>
  <c r="W202"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2" i="18"/>
  <c r="AM124" i="18" l="1"/>
  <c r="AL123" i="18"/>
  <c r="AM123" i="18" l="1"/>
  <c r="AL122" i="18"/>
  <c r="AL121" i="18" l="1"/>
  <c r="AM122" i="18"/>
  <c r="W216" i="18"/>
  <c r="W217" i="18"/>
  <c r="W218" i="18"/>
  <c r="W219" i="18"/>
  <c r="W220" i="18"/>
  <c r="W221" i="18"/>
  <c r="W233" i="18"/>
  <c r="W215" i="18"/>
  <c r="AM121" i="18" l="1"/>
  <c r="AL120" i="18"/>
  <c r="N51" i="18"/>
  <c r="AM120" i="18" l="1"/>
  <c r="AL119" i="18"/>
  <c r="AM119" i="18" l="1"/>
  <c r="AL118" i="18"/>
  <c r="T199" i="18"/>
  <c r="S86" i="18"/>
  <c r="S87" i="18" s="1"/>
  <c r="S88" i="18" s="1"/>
  <c r="R220" i="18"/>
  <c r="R218" i="18"/>
  <c r="D57" i="51"/>
  <c r="AL117" i="18" l="1"/>
  <c r="AM118" i="18"/>
  <c r="S89" i="18"/>
  <c r="S90" i="18" s="1"/>
  <c r="AM117" i="18" l="1"/>
  <c r="AL116" i="18"/>
  <c r="S91" i="18"/>
  <c r="S92" i="18" s="1"/>
  <c r="N30" i="18"/>
  <c r="Q121" i="18" l="1"/>
  <c r="R21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AL113" i="18"/>
  <c r="AM114" i="18"/>
  <c r="S20" i="18"/>
  <c r="S21" i="18" s="1"/>
  <c r="S95" i="18" l="1"/>
  <c r="AL112" i="18"/>
  <c r="AM113" i="18"/>
  <c r="N45" i="18"/>
  <c r="M107" i="18" l="1"/>
  <c r="N107" i="18" s="1"/>
  <c r="S96" i="18"/>
  <c r="S97" i="18" s="1"/>
  <c r="AM112" i="18"/>
  <c r="AL111" i="18"/>
  <c r="D108" i="50"/>
  <c r="S98" i="18" l="1"/>
  <c r="AL110" i="18"/>
  <c r="AM111" i="18"/>
  <c r="S99" i="18" l="1"/>
  <c r="S100" i="18" s="1"/>
  <c r="AL109" i="18"/>
  <c r="AM110" i="18"/>
  <c r="S101" i="18" l="1"/>
  <c r="S102" i="18" s="1"/>
  <c r="S103" i="18" s="1"/>
  <c r="S104" i="18" s="1"/>
  <c r="S105" i="18" s="1"/>
  <c r="S106" i="18" s="1"/>
  <c r="N106"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S115" i="18" l="1"/>
  <c r="S116" i="18" s="1"/>
  <c r="S117" i="18" s="1"/>
  <c r="S118" i="18" s="1"/>
  <c r="AL105" i="18"/>
  <c r="AM106" i="18"/>
  <c r="N108" i="18" l="1"/>
  <c r="AL104" i="18"/>
  <c r="AM105" i="18"/>
  <c r="AL263" i="18"/>
  <c r="AM264" i="18"/>
  <c r="AL103" i="18" l="1"/>
  <c r="AM104" i="18"/>
  <c r="AL262" i="18"/>
  <c r="AM263" i="18"/>
  <c r="AL102" i="18" l="1"/>
  <c r="AM103" i="18"/>
  <c r="AL261" i="18"/>
  <c r="AM262" i="18"/>
  <c r="S22" i="18"/>
  <c r="S23" i="18" s="1"/>
  <c r="N76" i="18"/>
  <c r="AL101" i="18" l="1"/>
  <c r="AM102" i="18"/>
  <c r="AL260" i="18"/>
  <c r="AM261"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0" i="18"/>
  <c r="AL259" i="18"/>
  <c r="D73" i="48"/>
  <c r="N105" i="18" l="1"/>
  <c r="AL99" i="18"/>
  <c r="AM100" i="18"/>
  <c r="AL258" i="18"/>
  <c r="AM259" i="18"/>
  <c r="S32" i="18" l="1"/>
  <c r="AM99" i="18"/>
  <c r="AL98" i="18"/>
  <c r="AL257" i="18"/>
  <c r="AM258" i="18"/>
  <c r="S33" i="18" l="1"/>
  <c r="S34" i="18" s="1"/>
  <c r="AL97" i="18"/>
  <c r="AM98" i="18"/>
  <c r="AL256" i="18"/>
  <c r="AM257" i="18"/>
  <c r="S35" i="18" l="1"/>
  <c r="S36" i="18" s="1"/>
  <c r="AM97" i="18"/>
  <c r="AL96" i="18"/>
  <c r="AL255" i="18"/>
  <c r="AM256" i="18"/>
  <c r="N23" i="33"/>
  <c r="D23" i="33" s="1"/>
  <c r="AM96" i="18" l="1"/>
  <c r="AL95" i="18"/>
  <c r="AL254" i="18"/>
  <c r="AM25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3" i="18"/>
  <c r="AM254" i="18"/>
  <c r="N21" i="18"/>
  <c r="Q81" i="18" l="1"/>
  <c r="R216" i="18"/>
  <c r="S40" i="18"/>
  <c r="S41" i="18" s="1"/>
  <c r="AJ380" i="18"/>
  <c r="AJ381" i="18" s="1"/>
  <c r="AM94" i="18"/>
  <c r="AL93" i="18"/>
  <c r="AL252" i="18"/>
  <c r="AM253" i="18"/>
  <c r="S42" i="18" l="1"/>
  <c r="AL92" i="18"/>
  <c r="AM93" i="18"/>
  <c r="AL251" i="18"/>
  <c r="AM252" i="18"/>
  <c r="S131" i="18"/>
  <c r="S132" i="18" s="1"/>
  <c r="S43" i="18" l="1"/>
  <c r="AL91" i="18"/>
  <c r="AM92" i="18"/>
  <c r="AM251" i="18"/>
  <c r="AL250" i="18"/>
  <c r="S44" i="18" l="1"/>
  <c r="S45" i="18" s="1"/>
  <c r="S46" i="18" s="1"/>
  <c r="S47" i="18" s="1"/>
  <c r="AL90" i="18"/>
  <c r="AM91" i="18"/>
  <c r="AL249" i="18"/>
  <c r="AM250" i="18"/>
  <c r="AM90" i="18" l="1"/>
  <c r="AL89" i="18"/>
  <c r="AM249" i="18"/>
  <c r="AL248" i="18"/>
  <c r="AL88" i="18" l="1"/>
  <c r="AM89" i="18"/>
  <c r="AM248" i="18"/>
  <c r="AL247" i="18"/>
  <c r="S48" i="18" l="1"/>
  <c r="S49" i="18" s="1"/>
  <c r="S50" i="18" s="1"/>
  <c r="AM88" i="18"/>
  <c r="AL87" i="18"/>
  <c r="AL246" i="18"/>
  <c r="AM247" i="18"/>
  <c r="B10" i="36"/>
  <c r="AL86" i="18" l="1"/>
  <c r="AM87" i="18"/>
  <c r="AL245" i="18"/>
  <c r="AM246" i="18"/>
  <c r="S133" i="18"/>
  <c r="S134" i="18" s="1"/>
  <c r="S135" i="18" s="1"/>
  <c r="S51" i="18" l="1"/>
  <c r="S52" i="18" s="1"/>
  <c r="AL85" i="18"/>
  <c r="AM86" i="18"/>
  <c r="S136" i="18"/>
  <c r="S137" i="18" s="1"/>
  <c r="AL244" i="18"/>
  <c r="AM245" i="18"/>
  <c r="N25" i="33"/>
  <c r="N24" i="33"/>
  <c r="N21" i="33"/>
  <c r="N20" i="33"/>
  <c r="N19" i="33"/>
  <c r="N18" i="33"/>
  <c r="L18" i="33" s="1"/>
  <c r="N17" i="33"/>
  <c r="N9" i="33"/>
  <c r="N3" i="33"/>
  <c r="N4" i="33"/>
  <c r="S53" i="18" l="1"/>
  <c r="S54" i="18" s="1"/>
  <c r="S55" i="18" s="1"/>
  <c r="S56" i="18" s="1"/>
  <c r="S57" i="18" s="1"/>
  <c r="AL84" i="18"/>
  <c r="AM85" i="18"/>
  <c r="AM244" i="18"/>
  <c r="AL243" i="18"/>
  <c r="S138" i="18"/>
  <c r="S139" i="18" s="1"/>
  <c r="S14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3" i="18"/>
  <c r="AL242" i="18"/>
  <c r="AC15" i="33"/>
  <c r="S63" i="18" l="1"/>
  <c r="S64" i="18" s="1"/>
  <c r="AL82" i="18"/>
  <c r="AM83" i="18"/>
  <c r="AM242" i="18"/>
  <c r="AL241" i="18"/>
  <c r="N16" i="33"/>
  <c r="S65" i="18" l="1"/>
  <c r="S66" i="18" s="1"/>
  <c r="S67" i="18" s="1"/>
  <c r="S68" i="18" s="1"/>
  <c r="AL81" i="18"/>
  <c r="AM82" i="18"/>
  <c r="AM241" i="18"/>
  <c r="AL240" i="18"/>
  <c r="AM240"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AM376" i="18"/>
  <c r="AN376" i="18" s="1"/>
  <c r="AJ37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2" i="18" l="1"/>
  <c r="AJ38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1" i="18" l="1"/>
  <c r="AL77" i="18"/>
  <c r="AM78" i="18"/>
  <c r="G307" i="20" l="1"/>
  <c r="K308" i="20"/>
  <c r="J308" i="20"/>
  <c r="I308" i="20"/>
  <c r="S142" i="18"/>
  <c r="AL76" i="18"/>
  <c r="AM77" i="18"/>
  <c r="S143" i="18" l="1"/>
  <c r="S144" i="18" s="1"/>
  <c r="G306" i="20"/>
  <c r="J307" i="20"/>
  <c r="I307" i="20"/>
  <c r="K307" i="20"/>
  <c r="AL75" i="18"/>
  <c r="AM76" i="18"/>
  <c r="N49" i="18"/>
  <c r="Q191" i="18" s="1"/>
  <c r="R215" i="18" l="1"/>
  <c r="S145" i="18"/>
  <c r="S146" i="18" s="1"/>
  <c r="S147" i="18" s="1"/>
  <c r="M104" i="18"/>
  <c r="N104" i="18" s="1"/>
  <c r="N112" i="18" s="1"/>
  <c r="AJ229" i="18"/>
  <c r="AJ230" i="18" s="1"/>
  <c r="G305" i="20"/>
  <c r="I306" i="20"/>
  <c r="K306" i="20"/>
  <c r="J306" i="20"/>
  <c r="AL74" i="18"/>
  <c r="AM75" i="18"/>
  <c r="R228" i="18" l="1"/>
  <c r="T367" i="18" s="1"/>
  <c r="V370" i="18" s="1"/>
  <c r="G304" i="20"/>
  <c r="I305" i="20"/>
  <c r="K305" i="20"/>
  <c r="J305" i="20"/>
  <c r="AL73" i="18"/>
  <c r="AM74" i="18"/>
  <c r="R125" i="18"/>
  <c r="V118" i="18" l="1"/>
  <c r="X118" i="18" s="1"/>
  <c r="V79" i="18"/>
  <c r="W118" i="18"/>
  <c r="V78" i="18"/>
  <c r="W78" i="18" s="1"/>
  <c r="V117" i="18"/>
  <c r="V77" i="18"/>
  <c r="W77" i="18" s="1"/>
  <c r="V76" i="18"/>
  <c r="W76" i="18" s="1"/>
  <c r="V116" i="18"/>
  <c r="V115" i="18"/>
  <c r="V114" i="18"/>
  <c r="V113" i="18"/>
  <c r="X113" i="18" s="1"/>
  <c r="V75" i="18"/>
  <c r="W75" i="18" s="1"/>
  <c r="V74" i="18"/>
  <c r="W74" i="18" s="1"/>
  <c r="V73" i="18"/>
  <c r="W73" i="18" s="1"/>
  <c r="V71" i="18"/>
  <c r="W71" i="18" s="1"/>
  <c r="V72" i="18"/>
  <c r="V69" i="18"/>
  <c r="V70" i="18"/>
  <c r="V68" i="18"/>
  <c r="W68" i="18" s="1"/>
  <c r="V120" i="18"/>
  <c r="V112" i="18"/>
  <c r="V67" i="18"/>
  <c r="X67" i="18" s="1"/>
  <c r="V66" i="18"/>
  <c r="W66" i="18" s="1"/>
  <c r="V190" i="18"/>
  <c r="V65" i="18"/>
  <c r="W65" i="18" s="1"/>
  <c r="V64" i="18"/>
  <c r="W64" i="18" s="1"/>
  <c r="V111" i="18"/>
  <c r="W111" i="18" s="1"/>
  <c r="U380" i="18"/>
  <c r="V380" i="18" s="1"/>
  <c r="V110" i="18"/>
  <c r="X110" i="18" s="1"/>
  <c r="V62" i="18"/>
  <c r="V63" i="18"/>
  <c r="V61" i="18"/>
  <c r="X61" i="18" s="1"/>
  <c r="V60" i="18"/>
  <c r="X60" i="18" s="1"/>
  <c r="V109" i="18"/>
  <c r="V108" i="18"/>
  <c r="X108" i="18" s="1"/>
  <c r="V59" i="18"/>
  <c r="X59" i="18" s="1"/>
  <c r="V107" i="18"/>
  <c r="V58" i="18"/>
  <c r="V80" i="18"/>
  <c r="V106" i="18"/>
  <c r="V56" i="18"/>
  <c r="W56" i="18" s="1"/>
  <c r="V57" i="18"/>
  <c r="V55" i="18"/>
  <c r="V54" i="18"/>
  <c r="V53" i="18"/>
  <c r="W53" i="18" s="1"/>
  <c r="V52" i="18"/>
  <c r="V50" i="18"/>
  <c r="W50" i="18" s="1"/>
  <c r="V51" i="18"/>
  <c r="V49" i="18"/>
  <c r="V48" i="18"/>
  <c r="V47" i="18"/>
  <c r="V105" i="18"/>
  <c r="V104" i="18"/>
  <c r="V103" i="18"/>
  <c r="X103" i="18" s="1"/>
  <c r="V46" i="18"/>
  <c r="V102" i="18"/>
  <c r="W102" i="18" s="1"/>
  <c r="V45" i="18"/>
  <c r="V101" i="18"/>
  <c r="V44" i="18"/>
  <c r="W44" i="18" s="1"/>
  <c r="V100" i="18"/>
  <c r="V99" i="18"/>
  <c r="W99" i="18" s="1"/>
  <c r="V43" i="18"/>
  <c r="V42" i="18"/>
  <c r="X42" i="18" s="1"/>
  <c r="V98" i="18"/>
  <c r="S204" i="18"/>
  <c r="V40" i="18"/>
  <c r="W40" i="18" s="1"/>
  <c r="V41" i="18"/>
  <c r="V97" i="18"/>
  <c r="W97" i="18" s="1"/>
  <c r="V39" i="18"/>
  <c r="V129" i="18"/>
  <c r="V96" i="18"/>
  <c r="V95" i="18"/>
  <c r="V94" i="18"/>
  <c r="W94" i="18" s="1"/>
  <c r="V38" i="18"/>
  <c r="V37" i="18"/>
  <c r="V36" i="18"/>
  <c r="V35" i="18"/>
  <c r="V34" i="18"/>
  <c r="W34" i="18" s="1"/>
  <c r="V93" i="18"/>
  <c r="V92" i="18"/>
  <c r="V33" i="18"/>
  <c r="V32" i="18"/>
  <c r="V31" i="18"/>
  <c r="V29" i="18"/>
  <c r="W29" i="18" s="1"/>
  <c r="V30" i="18"/>
  <c r="V28" i="18"/>
  <c r="X28" i="18" s="1"/>
  <c r="G303" i="20"/>
  <c r="K304" i="20"/>
  <c r="I304" i="20"/>
  <c r="J304" i="20"/>
  <c r="V27" i="18"/>
  <c r="W27" i="18" s="1"/>
  <c r="V146" i="18"/>
  <c r="V145" i="18"/>
  <c r="V26" i="18"/>
  <c r="W26" i="18" s="1"/>
  <c r="V91" i="18"/>
  <c r="V143" i="18"/>
  <c r="W143" i="18" s="1"/>
  <c r="V144" i="18"/>
  <c r="V141" i="18"/>
  <c r="W141" i="18" s="1"/>
  <c r="V142" i="18"/>
  <c r="V140" i="18"/>
  <c r="W140" i="18" s="1"/>
  <c r="V25" i="18"/>
  <c r="V24" i="18"/>
  <c r="W24" i="18" s="1"/>
  <c r="V90" i="18"/>
  <c r="V23" i="18"/>
  <c r="X23" i="18" s="1"/>
  <c r="V89" i="18"/>
  <c r="V88" i="18"/>
  <c r="V139" i="18"/>
  <c r="V87" i="18"/>
  <c r="V138" i="18"/>
  <c r="V22" i="18"/>
  <c r="V137" i="18"/>
  <c r="V21" i="18"/>
  <c r="V136" i="18"/>
  <c r="V135" i="18"/>
  <c r="V134" i="18"/>
  <c r="V132" i="18"/>
  <c r="V133" i="18"/>
  <c r="V20" i="18"/>
  <c r="V130" i="18"/>
  <c r="V131" i="18"/>
  <c r="AL72" i="18"/>
  <c r="AM73" i="18"/>
  <c r="W79" i="18" l="1"/>
  <c r="X79" i="18"/>
  <c r="X78" i="18"/>
  <c r="W117" i="18"/>
  <c r="X117" i="18"/>
  <c r="X77" i="18"/>
  <c r="X76" i="18"/>
  <c r="W116" i="18"/>
  <c r="X116" i="18"/>
  <c r="W113" i="18"/>
  <c r="W114" i="18"/>
  <c r="X114" i="18"/>
  <c r="X115" i="18"/>
  <c r="W115" i="18"/>
  <c r="X75" i="18"/>
  <c r="X74" i="18"/>
  <c r="X73" i="18"/>
  <c r="X71" i="18"/>
  <c r="W72" i="18"/>
  <c r="X72" i="18"/>
  <c r="W70" i="18"/>
  <c r="X70" i="18"/>
  <c r="W69" i="18"/>
  <c r="X69" i="18"/>
  <c r="W67" i="18"/>
  <c r="X68" i="18"/>
  <c r="W112" i="18"/>
  <c r="X112" i="18"/>
  <c r="X120" i="18"/>
  <c r="W120" i="18"/>
  <c r="X66" i="18"/>
  <c r="X190" i="18"/>
  <c r="W190" i="18"/>
  <c r="X65" i="18"/>
  <c r="X64" i="18"/>
  <c r="X111" i="18"/>
  <c r="W110" i="18"/>
  <c r="W61" i="18"/>
  <c r="W63" i="18"/>
  <c r="X63" i="18"/>
  <c r="X62" i="18"/>
  <c r="W62" i="18"/>
  <c r="W60" i="18"/>
  <c r="W109" i="18"/>
  <c r="X109" i="18"/>
  <c r="W108" i="18"/>
  <c r="W59" i="18"/>
  <c r="W107" i="18"/>
  <c r="X107" i="18"/>
  <c r="W80" i="18"/>
  <c r="X80" i="18"/>
  <c r="W58" i="18"/>
  <c r="X58" i="18"/>
  <c r="W106" i="18"/>
  <c r="X106" i="18"/>
  <c r="X56" i="18"/>
  <c r="W57" i="18"/>
  <c r="X57" i="18"/>
  <c r="W54" i="18"/>
  <c r="X54" i="18"/>
  <c r="W55" i="18"/>
  <c r="X55" i="18"/>
  <c r="X53" i="18"/>
  <c r="W52" i="18"/>
  <c r="X52" i="18"/>
  <c r="X50" i="18"/>
  <c r="W51" i="18"/>
  <c r="X51" i="18"/>
  <c r="W49" i="18"/>
  <c r="X49" i="18"/>
  <c r="W48" i="18"/>
  <c r="X48" i="18"/>
  <c r="W47" i="18"/>
  <c r="X47" i="18"/>
  <c r="U204" i="18"/>
  <c r="V204" i="18" s="1"/>
  <c r="W105" i="18"/>
  <c r="X105" i="18"/>
  <c r="W104" i="18"/>
  <c r="X104" i="18"/>
  <c r="W103" i="18"/>
  <c r="X46" i="18"/>
  <c r="W46" i="18"/>
  <c r="X102" i="18"/>
  <c r="X45" i="18"/>
  <c r="W45" i="18"/>
  <c r="W101" i="18"/>
  <c r="X101" i="18"/>
  <c r="X44" i="18"/>
  <c r="X100" i="18"/>
  <c r="W100" i="18"/>
  <c r="X99" i="18"/>
  <c r="X43" i="18"/>
  <c r="W43" i="18"/>
  <c r="W42" i="18"/>
  <c r="W98" i="18"/>
  <c r="X98" i="18"/>
  <c r="X40" i="18"/>
  <c r="W41" i="18"/>
  <c r="X41" i="18"/>
  <c r="X97" i="18"/>
  <c r="W39" i="18"/>
  <c r="X39" i="18"/>
  <c r="W96" i="18"/>
  <c r="X96" i="18"/>
  <c r="W95" i="18"/>
  <c r="X95" i="18"/>
  <c r="X94" i="18"/>
  <c r="W38" i="18"/>
  <c r="X38" i="18"/>
  <c r="W37" i="18"/>
  <c r="X37" i="18"/>
  <c r="X36" i="18"/>
  <c r="W36" i="18"/>
  <c r="W35" i="18"/>
  <c r="X35" i="18"/>
  <c r="X34" i="18"/>
  <c r="W93" i="18"/>
  <c r="X93" i="18"/>
  <c r="W92" i="18"/>
  <c r="X92" i="18"/>
  <c r="X33" i="18"/>
  <c r="W33" i="18"/>
  <c r="X32" i="18"/>
  <c r="W32" i="18"/>
  <c r="W31" i="18"/>
  <c r="X31" i="18"/>
  <c r="X29" i="18"/>
  <c r="W30" i="18"/>
  <c r="X30" i="18"/>
  <c r="W28" i="18"/>
  <c r="S203" i="18"/>
  <c r="R212" i="18" s="1"/>
  <c r="G302" i="20"/>
  <c r="K303" i="20"/>
  <c r="I303" i="20"/>
  <c r="J303" i="20"/>
  <c r="X27" i="18"/>
  <c r="X146" i="18"/>
  <c r="W146" i="18"/>
  <c r="W145" i="18"/>
  <c r="X145" i="18"/>
  <c r="X26" i="18"/>
  <c r="W91" i="18"/>
  <c r="X91" i="18"/>
  <c r="X143" i="18"/>
  <c r="W144" i="18"/>
  <c r="X144" i="18"/>
  <c r="X141" i="18"/>
  <c r="W142" i="18"/>
  <c r="X142" i="18"/>
  <c r="X140" i="18"/>
  <c r="W25" i="18"/>
  <c r="X25" i="18"/>
  <c r="X24" i="18"/>
  <c r="W90" i="18"/>
  <c r="X90" i="18"/>
  <c r="W23" i="18"/>
  <c r="W89" i="18"/>
  <c r="X89" i="18"/>
  <c r="W88" i="18"/>
  <c r="X88" i="18"/>
  <c r="S202" i="18"/>
  <c r="S201" i="18"/>
  <c r="R211" i="18" s="1"/>
  <c r="W139" i="18"/>
  <c r="X139" i="18"/>
  <c r="X87" i="18"/>
  <c r="W87" i="18"/>
  <c r="W137" i="18"/>
  <c r="X137" i="18"/>
  <c r="W131" i="18"/>
  <c r="X131" i="18"/>
  <c r="W135" i="18"/>
  <c r="X135" i="18"/>
  <c r="W22" i="18"/>
  <c r="X22" i="18"/>
  <c r="W20" i="18"/>
  <c r="X20" i="18"/>
  <c r="W133" i="18"/>
  <c r="X133" i="18"/>
  <c r="X138" i="18"/>
  <c r="W138" i="18"/>
  <c r="W130" i="18"/>
  <c r="X130" i="18"/>
  <c r="W129" i="18"/>
  <c r="X129" i="18"/>
  <c r="W134" i="18"/>
  <c r="X134" i="18"/>
  <c r="W132" i="18"/>
  <c r="X132" i="18"/>
  <c r="W136" i="18"/>
  <c r="X136" i="18"/>
  <c r="W21" i="18"/>
  <c r="X21" i="18"/>
  <c r="AL71" i="18"/>
  <c r="AM72" i="18"/>
  <c r="U201" i="18" l="1"/>
  <c r="U203" i="18"/>
  <c r="V203" i="18" s="1"/>
  <c r="N33" i="18"/>
  <c r="L21" i="18" s="1"/>
  <c r="U202" i="18"/>
  <c r="V202"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3"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23" i="18"/>
  <c r="AJ228" i="18" s="1"/>
  <c r="E172" i="13"/>
  <c r="G173" i="13"/>
  <c r="D62" i="38"/>
  <c r="V162" i="18" l="1"/>
  <c r="X162" i="18" s="1"/>
  <c r="X161" i="18"/>
  <c r="AJ232" i="18"/>
  <c r="J249" i="20"/>
  <c r="I249" i="20"/>
  <c r="K249" i="20"/>
  <c r="G248" i="20"/>
  <c r="F244" i="15"/>
  <c r="D243" i="15"/>
  <c r="AJ231"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9" i="18" l="1"/>
  <c r="S170" i="18" s="1"/>
  <c r="X167" i="18"/>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8"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W169" i="18" l="1"/>
  <c r="X169"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0" i="18" l="1"/>
  <c r="W170" i="18" s="1"/>
  <c r="S171" i="18"/>
  <c r="S172" i="18" s="1"/>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2" i="18" l="1"/>
  <c r="W172" i="18" s="1"/>
  <c r="V171" i="18"/>
  <c r="W171" i="18" s="1"/>
  <c r="X170"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2" i="18" l="1"/>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3"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3" i="18" l="1"/>
  <c r="W173" i="18"/>
  <c r="G190" i="20"/>
  <c r="I191" i="20"/>
  <c r="J191" i="20"/>
  <c r="K191" i="20"/>
  <c r="G44" i="10"/>
  <c r="D143" i="20"/>
  <c r="S175" i="18" l="1"/>
  <c r="S176" i="18" s="1"/>
  <c r="V174" i="18"/>
  <c r="G189" i="20"/>
  <c r="K190" i="20"/>
  <c r="I190" i="20"/>
  <c r="J190" i="20"/>
  <c r="S177" i="18" l="1"/>
  <c r="S178" i="18" s="1"/>
  <c r="V175" i="18"/>
  <c r="X175" i="18" s="1"/>
  <c r="X174" i="18"/>
  <c r="W174" i="18"/>
  <c r="G188" i="20"/>
  <c r="K189" i="20"/>
  <c r="I189" i="20"/>
  <c r="J189" i="20"/>
  <c r="E184" i="15"/>
  <c r="E185" i="15"/>
  <c r="E183" i="15"/>
  <c r="W175"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6" i="18" l="1"/>
  <c r="G186" i="20"/>
  <c r="K187" i="20"/>
  <c r="J187" i="20"/>
  <c r="I187" i="20"/>
  <c r="D141" i="20"/>
  <c r="W176" i="18" l="1"/>
  <c r="X176" i="18"/>
  <c r="G185" i="20"/>
  <c r="I186" i="20"/>
  <c r="J186" i="20"/>
  <c r="K186" i="20"/>
  <c r="F2" i="16"/>
  <c r="G2" i="16" s="1"/>
  <c r="G85" i="16" s="1"/>
  <c r="V177" i="18" l="1"/>
  <c r="W177" i="18" s="1"/>
  <c r="G184" i="20"/>
  <c r="I185" i="20"/>
  <c r="J185" i="20"/>
  <c r="K185" i="20"/>
  <c r="F185" i="15"/>
  <c r="D140" i="20"/>
  <c r="X177" i="18" l="1"/>
  <c r="S179" i="18"/>
  <c r="V17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9" i="18" l="1"/>
  <c r="X179" i="18" s="1"/>
  <c r="S180" i="18"/>
  <c r="W178" i="18"/>
  <c r="X178" i="18"/>
  <c r="W179" i="18"/>
  <c r="I183" i="20"/>
  <c r="G182" i="20"/>
  <c r="K183" i="20"/>
  <c r="J183" i="20"/>
  <c r="F183" i="15"/>
  <c r="G43" i="10"/>
  <c r="V180" i="18" l="1"/>
  <c r="W180" i="18" s="1"/>
  <c r="S181" i="18"/>
  <c r="X180" i="18"/>
  <c r="K182" i="20"/>
  <c r="I182" i="20"/>
  <c r="J182" i="20"/>
  <c r="G181" i="20"/>
  <c r="D138" i="20"/>
  <c r="S182" i="18" l="1"/>
  <c r="V181" i="18"/>
  <c r="G180" i="20"/>
  <c r="I181" i="20"/>
  <c r="K181" i="20"/>
  <c r="J181" i="20"/>
  <c r="G42" i="10"/>
  <c r="W181" i="18" l="1"/>
  <c r="X181" i="18"/>
  <c r="S183" i="18"/>
  <c r="V182" i="18"/>
  <c r="I180" i="20"/>
  <c r="G179" i="20"/>
  <c r="J180" i="20"/>
  <c r="K180" i="20"/>
  <c r="E167" i="15"/>
  <c r="E168" i="15"/>
  <c r="E169" i="15"/>
  <c r="E170" i="15"/>
  <c r="E171" i="15"/>
  <c r="E172" i="15"/>
  <c r="E173" i="15"/>
  <c r="E174" i="15"/>
  <c r="E175" i="15"/>
  <c r="E176" i="15"/>
  <c r="E177" i="15"/>
  <c r="E178" i="15"/>
  <c r="E179" i="15"/>
  <c r="E180" i="15"/>
  <c r="E181" i="15"/>
  <c r="E182" i="15"/>
  <c r="V183" i="18" l="1"/>
  <c r="X183" i="18" s="1"/>
  <c r="S184" i="18"/>
  <c r="W182" i="18"/>
  <c r="X182" i="18"/>
  <c r="W183" i="18"/>
  <c r="I179" i="20"/>
  <c r="J179" i="20"/>
  <c r="G178" i="20"/>
  <c r="K179" i="20"/>
  <c r="F182" i="15"/>
  <c r="F181" i="15"/>
  <c r="F180" i="15"/>
  <c r="F179" i="15"/>
  <c r="F178" i="15"/>
  <c r="F177" i="15"/>
  <c r="F176" i="15"/>
  <c r="F175" i="15"/>
  <c r="F174" i="15"/>
  <c r="F173" i="15"/>
  <c r="F172" i="15"/>
  <c r="F171" i="15"/>
  <c r="F170" i="15"/>
  <c r="F169" i="15"/>
  <c r="F168" i="15"/>
  <c r="F167" i="15"/>
  <c r="D137" i="20"/>
  <c r="V184" i="18" l="1"/>
  <c r="S185" i="18"/>
  <c r="W184" i="18"/>
  <c r="X184"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S186" i="18" l="1"/>
  <c r="V186" i="18" s="1"/>
  <c r="V185" i="18"/>
  <c r="G176" i="20"/>
  <c r="I177" i="20"/>
  <c r="K177" i="20"/>
  <c r="J177" i="20"/>
  <c r="D136" i="20"/>
  <c r="W185" i="18" l="1"/>
  <c r="X185" i="18"/>
  <c r="W186" i="18"/>
  <c r="X186" i="18"/>
  <c r="J176" i="20"/>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<sst xmlns="http://schemas.openxmlformats.org/spreadsheetml/2006/main" count="13097" uniqueCount="5486">
  <si>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</si>
  <si>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</si>
  <si>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</si>
  <si>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</si>
  <si>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</si>
  <si>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</si>
  <si>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</si>
  <si>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</si>
  <si>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</si>
  <si>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</si>
  <si>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</si>
  <si>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</si>
  <si>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</si>
  <si>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</si>
  <si>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</si>
  <si>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</si>
  <si>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</si>
  <si>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</si>
  <si>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</si>
  <si>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</si>
  <si>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</si>
  <si>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</si>
  <si>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</si>
  <si>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</si>
  <si>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</si>
  <si>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</si>
  <si>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</si>
  <si>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</si>
  <si>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</si>
  <si>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</si>
  <si>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</si>
  <si>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</si>
  <si>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</si>
  <si>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</si>
  <si>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</si>
  <si>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</si>
  <si>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</si>
  <si>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</si>
  <si>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</si>
  <si>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</si>
  <si>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</si>
  <si>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</si>
  <si>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</si>
  <si>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</si>
  <si>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</si>
  <si>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</si>
  <si>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</si>
  <si>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</si>
  <si>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</si>
  <si>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</si>
  <si>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</si>
  <si>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</si>
  <si>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</si>
  <si>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</si>
  <si>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</si>
  <si>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</si>
  <si>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</si>
  <si>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</si>
  <si>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</si>
  <si>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</si>
  <si>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</si>
  <si>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</si>
  <si>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</si>
  <si>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</si>
  <si>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</si>
  <si>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</si>
  <si>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</si>
  <si>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</si>
  <si>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</si>
  <si>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</si>
  <si>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</si>
  <si>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</si>
  <si>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</si>
  <si>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</si>
  <si>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</si>
  <si>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</si>
  <si>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</si>
  <si>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</si>
  <si>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</si>
  <si>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</si>
  <si>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</si>
  <si>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</si>
  <si>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</si>
  <si>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</si>
  <si>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</si>
  <si>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</si>
  <si>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</si>
  <si>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</si>
  <si>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</si>
  <si>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</si>
  <si>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</si>
  <si>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</si>
  <si>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</si>
  <si>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</si>
  <si>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</si>
  <si>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</si>
  <si>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</si>
  <si>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</si>
  <si>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</si>
  <si>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</si>
  <si>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</si>
  <si>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</si>
  <si>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</si>
  <si>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</si>
  <si>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</si>
  <si>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</si>
  <si>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</si>
  <si>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</si>
  <si>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</si>
  <si>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</si>
  <si>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</si>
  <si>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</si>
  <si>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</si>
  <si>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</si>
  <si>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</si>
  <si>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</si>
  <si>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</si>
  <si>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</si>
  <si>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</si>
  <si>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</si>
  <si>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</si>
  <si>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</si>
  <si>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</si>
  <si>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</si>
  <si>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</si>
  <si>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</si>
  <si>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</si>
  <si>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</si>
  <si>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</si>
  <si>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</si>
  <si>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</si>
  <si>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</si>
  <si>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</si>
  <si>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</si>
  <si>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</si>
  <si>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</si>
  <si>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</si>
  <si>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</si>
  <si>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</si>
  <si>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</si>
  <si>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</si>
  <si>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</si>
  <si>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</si>
  <si>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</si>
  <si>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</si>
  <si>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</si>
  <si>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</si>
  <si>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</si>
  <si>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</si>
  <si>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</si>
  <si>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</si>
  <si>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</si>
  <si>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</si>
  <si>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</si>
  <si>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</si>
  <si>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</si>
  <si>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</si>
  <si>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</si>
  <si>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</si>
  <si>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</si>
  <si>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</si>
  <si>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</si>
  <si>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</si>
  <si>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</si>
  <si>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</si>
  <si>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</si>
  <si>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</si>
  <si>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</si>
  <si>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</si>
  <si>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</si>
  <si>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</si>
  <si>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</si>
  <si>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</si>
  <si>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</si>
  <si>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</si>
  <si>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</si>
  <si>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</si>
  <si>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</si>
  <si>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</si>
  <si>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</si>
  <si>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</si>
  <si>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</si>
  <si>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</si>
  <si>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</si>
  <si>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</si>
  <si>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</si>
  <si>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</si>
  <si>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</si>
  <si>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</si>
  <si>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</si>
  <si>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</si>
  <si>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</si>
  <si>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</si>
  <si>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</si>
  <si>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</si>
  <si>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</si>
  <si>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</si>
  <si>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</si>
  <si>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</si>
  <si>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</si>
  <si>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</si>
  <si>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</si>
  <si>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</si>
  <si>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</si>
  <si>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</si>
  <si>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</si>
  <si>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</si>
  <si>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</si>
  <si>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</si>
  <si>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</si>
  <si>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</si>
  <si>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</si>
  <si>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</si>
  <si>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</si>
  <si>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</si>
  <si>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</si>
  <si>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</si>
  <si>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</si>
  <si>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</si>
  <si>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</si>
  <si>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</si>
  <si>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</si>
  <si>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</si>
  <si>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</si>
  <si>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</si>
  <si>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</si>
  <si>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</si>
  <si>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</si>
  <si>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</si>
  <si>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</si>
  <si>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</si>
  <si>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</si>
  <si>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</si>
  <si>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</si>
  <si>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</si>
  <si>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</si>
  <si>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</si>
  <si>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</si>
  <si>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</si>
  <si>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</si>
  <si>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</si>
  <si>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</si>
  <si>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</si>
  <si>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</si>
  <si>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</si>
  <si>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</si>
  <si>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</si>
  <si>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</si>
  <si>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</si>
  <si>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</si>
  <si>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</si>
  <si>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</si>
  <si>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</si>
  <si>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</si>
  <si>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</si>
  <si>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</si>
  <si>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</si>
  <si>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</si>
  <si>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</si>
  <si>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</si>
  <si>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</si>
  <si>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</si>
  <si>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</si>
  <si>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</si>
  <si>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</si>
  <si>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</si>
  <si>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</si>
  <si>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</si>
  <si>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</si>
  <si>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</si>
  <si>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</si>
  <si>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</si>
  <si>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</si>
  <si>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</si>
  <si>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</si>
  <si>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</si>
  <si>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</si>
  <si>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</si>
  <si>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</si>
  <si>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</si>
  <si>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</si>
  <si>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</si>
  <si>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</si>
  <si>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</si>
  <si>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</si>
  <si>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</si>
  <si>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</si>
  <si>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</si>
  <si>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</si>
  <si>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</si>
  <si>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</si>
  <si>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</si>
  <si>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</si>
  <si>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</si>
  <si>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</si>
  <si>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</si>
  <si>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</si>
  <si>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</si>
  <si>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</si>
  <si>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</si>
  <si>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</si>
  <si>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</si>
  <si>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</si>
  <si>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</si>
  <si>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</si>
  <si>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</si>
  <si>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</si>
  <si>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</si>
  <si>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</si>
  <si>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</si>
  <si>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</si>
  <si>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</si>
  <si>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</si>
  <si>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</si>
  <si>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</si>
  <si>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</si>
  <si>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</si>
  <si>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</si>
  <si>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</si>
  <si>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</si>
  <si>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</si>
  <si>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</si>
  <si>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</si>
  <si>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</si>
  <si>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</si>
  <si>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</si>
  <si>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</si>
  <si>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</si>
  <si>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</si>
  <si>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</si>
  <si>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</si>
  <si>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</si>
  <si>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</si>
  <si>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</si>
  <si>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</si>
  <si>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</si>
  <si>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</si>
  <si>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</si>
  <si>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</si>
  <si>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</si>
  <si>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</si>
  <si>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</si>
  <si>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</si>
  <si>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</si>
  <si>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</si>
  <si>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</si>
  <si>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</si>
  <si>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</si>
  <si>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</si>
  <si>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</si>
  <si>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</si>
  <si>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</si>
  <si>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</si>
  <si>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</si>
  <si>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</si>
  <si>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</si>
  <si>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</si>
  <si>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</si>
  <si>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</si>
  <si>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</si>
  <si>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</si>
  <si>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</si>
  <si>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</si>
  <si>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</si>
  <si>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</si>
  <si>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</si>
  <si>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</si>
  <si>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</si>
  <si>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</si>
  <si>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</si>
  <si>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</si>
  <si>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</si>
  <si>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</si>
  <si>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</si>
  <si>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</si>
  <si>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</si>
  <si>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</si>
  <si>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</si>
  <si>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</si>
  <si>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</si>
  <si>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</si>
  <si>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</si>
  <si>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</si>
  <si>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</si>
  <si>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</si>
  <si>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</si>
  <si>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</si>
  <si>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</si>
  <si>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</si>
  <si>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</si>
  <si>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</si>
  <si>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</si>
  <si>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</si>
  <si>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</si>
  <si>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</si>
  <si>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</si>
  <si>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</si>
  <si>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</si>
  <si>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</si>
  <si>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</si>
  <si>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</si>
  <si>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</si>
  <si>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</si>
  <si>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</si>
  <si>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</si>
  <si>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</si>
  <si>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</si>
  <si>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</si>
  <si>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</si>
  <si>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</si>
  <si>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</si>
  <si>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</si>
  <si>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</si>
  <si>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</si>
  <si>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</si>
  <si>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</si>
  <si>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</si>
  <si>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</si>
  <si>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</si>
  <si>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</si>
  <si>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</si>
  <si>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</si>
  <si>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</si>
  <si>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</si>
  <si>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</si>
  <si>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</si>
  <si>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</si>
  <si>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</si>
  <si>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</si>
  <si>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</si>
  <si>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</si>
  <si>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</si>
  <si>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</si>
  <si>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</si>
  <si>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</si>
  <si>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</si>
  <si>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</si>
  <si>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</si>
  <si>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</si>
  <si>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</si>
  <si>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</si>
  <si>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</si>
  <si>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</si>
  <si>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</si>
  <si>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</si>
  <si>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</si>
  <si>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</si>
  <si>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</si>
  <si>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</si>
  <si>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</si>
  <si>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</si>
  <si>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</si>
  <si>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</si>
  <si>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</si>
  <si>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</si>
  <si>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</si>
  <si>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</si>
  <si>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</si>
  <si>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</si>
  <si>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</si>
  <si>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</si>
  <si>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</si>
  <si>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</si>
  <si>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</si>
  <si>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</si>
  <si>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</si>
  <si>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</si>
  <si>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</si>
  <si>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</si>
  <si>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</si>
  <si>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</si>
  <si>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</si>
  <si>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</si>
  <si>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</si>
  <si>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</si>
  <si>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</si>
  <si>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</si>
  <si>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</si>
  <si>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</si>
  <si>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</si>
  <si>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</si>
  <si>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</si>
  <si>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</si>
  <si>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</si>
  <si>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</si>
  <si>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</si>
  <si>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</si>
  <si>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</si>
  <si>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</si>
  <si>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</si>
  <si>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</si>
  <si>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</si>
  <si>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</si>
  <si>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</si>
  <si>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</si>
  <si>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</si>
  <si>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</si>
  <si>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</si>
  <si>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</si>
  <si>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</si>
  <si>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</si>
  <si>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</si>
  <si>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</si>
  <si>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</si>
  <si>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</si>
  <si>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</si>
  <si>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</si>
  <si>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</si>
  <si>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</si>
  <si>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</si>
  <si>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</si>
  <si>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</si>
  <si>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</si>
  <si>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</si>
  <si>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</si>
  <si>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</si>
  <si>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</si>
  <si>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</si>
  <si>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</si>
  <si>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</si>
  <si>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</si>
  <si>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</si>
  <si>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</si>
  <si>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</si>
  <si>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</si>
  <si>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</si>
  <si>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</si>
  <si>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</si>
  <si>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</si>
  <si>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</si>
  <si>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</si>
  <si>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</si>
  <si>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</si>
  <si>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</si>
  <si>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</si>
  <si>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</si>
  <si>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</si>
  <si>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</si>
  <si>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</si>
  <si>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</si>
  <si>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</si>
  <si>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</si>
  <si>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</si>
  <si>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</si>
  <si>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</si>
  <si>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</si>
  <si>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</si>
  <si>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</si>
  <si>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</si>
  <si>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</si>
  <si>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</si>
  <si>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</si>
  <si>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</si>
  <si>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</si>
  <si>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</si>
  <si>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</si>
  <si>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</si>
  <si>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</si>
  <si>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</si>
  <si>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</si>
  <si>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</si>
  <si>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</si>
  <si>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</si>
  <si>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</si>
  <si>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</si>
  <si>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</si>
  <si>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</si>
  <si>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</si>
  <si>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</si>
  <si>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</si>
  <si>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</si>
  <si>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</si>
  <si>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</si>
  <si>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</si>
  <si>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</si>
  <si>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</si>
  <si>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</si>
  <si>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</si>
  <si>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</si>
  <si>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</si>
  <si>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</si>
  <si>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</si>
  <si>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</si>
  <si>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</si>
  <si>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</si>
  <si>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</si>
  <si>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</si>
  <si>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</si>
  <si>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</si>
  <si>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</si>
  <si>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</si>
  <si>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</si>
  <si>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</si>
  <si>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</si>
  <si>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</si>
  <si>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</si>
  <si>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</si>
  <si>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</si>
  <si>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</si>
  <si>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</si>
  <si>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</si>
  <si>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</si>
  <si>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</si>
  <si>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</si>
  <si>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</si>
  <si>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</si>
  <si>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</si>
  <si>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</si>
  <si>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</si>
  <si>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</si>
  <si>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</si>
  <si>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</si>
  <si>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</si>
  <si>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</si>
  <si>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</si>
  <si>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</si>
  <si>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</si>
  <si>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</si>
  <si>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</si>
  <si>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</si>
  <si>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</si>
  <si>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</si>
  <si>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</si>
  <si>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</si>
  <si>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</si>
  <si>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</si>
  <si>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</si>
  <si>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</si>
  <si>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</si>
  <si>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</si>
  <si>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</si>
  <si>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</si>
  <si>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</si>
  <si>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</si>
  <si>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</si>
  <si>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</si>
  <si>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</si>
  <si>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</si>
  <si>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</si>
  <si>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</si>
  <si>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</si>
  <si>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</si>
  <si>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</si>
  <si>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</si>
  <si>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</si>
  <si>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</si>
  <si>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</si>
  <si>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</si>
  <si>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</si>
  <si>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</si>
  <si>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</si>
  <si>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</si>
  <si>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</si>
  <si>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</si>
  <si>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</si>
  <si>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</si>
  <si>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</si>
  <si>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</si>
  <si>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</si>
  <si>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</si>
  <si>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</si>
  <si>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</si>
  <si>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</si>
  <si>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</si>
  <si>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</si>
  <si>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</si>
  <si>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</si>
  <si>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</si>
  <si>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</si>
  <si>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</si>
  <si>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</si>
  <si>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</si>
  <si>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</si>
  <si>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</si>
  <si>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</si>
  <si>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</si>
  <si>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</si>
  <si>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</si>
  <si>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</si>
  <si>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</si>
  <si>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</si>
  <si>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</si>
  <si>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</si>
  <si>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</si>
  <si>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</si>
  <si>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</si>
  <si>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</si>
  <si>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</si>
  <si>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</si>
  <si>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</si>
  <si>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</si>
  <si>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</si>
  <si>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</si>
  <si>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</si>
  <si>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</si>
  <si>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</si>
  <si>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</si>
  <si>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</si>
  <si>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</si>
  <si>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</si>
  <si>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</si>
  <si>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</si>
  <si>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</si>
  <si>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</si>
  <si>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</si>
  <si>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</si>
  <si>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</si>
  <si>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</si>
  <si>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</si>
  <si>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</si>
  <si>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</si>
  <si>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</si>
  <si>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</si>
  <si>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</si>
  <si>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</si>
  <si>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</si>
  <si>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</si>
  <si>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</si>
  <si>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</si>
  <si>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</si>
  <si>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</si>
  <si>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</si>
  <si>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</si>
  <si>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</si>
  <si>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</si>
  <si>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</si>
  <si>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</si>
  <si>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</si>
  <si>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</si>
  <si>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</si>
  <si>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</si>
  <si>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</si>
  <si>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</si>
  <si>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</si>
  <si>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</si>
  <si>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</si>
  <si>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</si>
  <si>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</si>
  <si>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</si>
  <si>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</si>
  <si>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</si>
  <si>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</si>
  <si>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</si>
  <si>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</si>
  <si>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</si>
  <si>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</si>
  <si>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</si>
  <si>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</si>
  <si>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</si>
  <si>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</si>
  <si>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</si>
  <si>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</si>
  <si>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</si>
  <si>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</si>
  <si>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</si>
  <si>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</si>
  <si>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</si>
  <si>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</si>
  <si>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</si>
  <si>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</si>
  <si>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</si>
  <si>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</si>
  <si>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</si>
  <si>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</si>
  <si>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</si>
  <si>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</si>
  <si>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</si>
  <si>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</si>
  <si>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</si>
  <si>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</si>
  <si>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</si>
  <si>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</si>
  <si>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</si>
  <si>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</si>
  <si>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</si>
  <si>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</si>
  <si>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</si>
  <si>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</si>
  <si>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</si>
  <si>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</si>
  <si>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</si>
  <si>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</si>
  <si>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</si>
  <si>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</si>
  <si>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</si>
  <si>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</si>
  <si>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</si>
  <si>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</si>
  <si>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</si>
  <si>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</si>
  <si>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</si>
  <si>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</si>
  <si>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</si>
  <si>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</si>
  <si>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</si>
  <si>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</si>
  <si>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</si>
  <si>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</si>
  <si>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</si>
  <si>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</si>
  <si>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</si>
  <si>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</si>
  <si>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</si>
  <si>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</si>
  <si>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</si>
  <si>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</si>
  <si>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</si>
  <si>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</si>
  <si>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</si>
  <si>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</si>
  <si>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</si>
  <si>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</si>
  <si>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</si>
  <si>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</si>
  <si>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</si>
  <si>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</si>
  <si>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</si>
  <si>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</si>
  <si>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</si>
  <si>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</si>
  <si>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</si>
  <si>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</si>
  <si>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</si>
  <si>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</si>
  <si>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</si>
  <si>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</si>
  <si>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</si>
  <si>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</si>
  <si>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</si>
  <si>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</si>
  <si>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</si>
  <si>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</si>
  <si>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</si>
  <si>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</si>
  <si>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</si>
  <si>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</si>
  <si>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</si>
  <si>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</si>
  <si>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</si>
  <si>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</si>
  <si>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</si>
  <si>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</si>
  <si>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</si>
  <si>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</si>
  <si>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</si>
  <si>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</si>
  <si>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</si>
  <si>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</si>
  <si>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</si>
  <si>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</si>
  <si>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</si>
  <si>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</si>
  <si>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</si>
  <si>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</si>
  <si>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</si>
  <si>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</si>
  <si>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</si>
  <si>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</si>
  <si>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</si>
  <si>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</si>
  <si>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</si>
  <si>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</si>
  <si>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</si>
  <si>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</si>
  <si>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</si>
  <si>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</si>
  <si>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</si>
  <si>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</si>
  <si>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</si>
  <si>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</si>
  <si>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</si>
  <si>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</si>
  <si>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</si>
  <si>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</si>
  <si>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</si>
  <si>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</si>
  <si>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</si>
  <si>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</si>
  <si>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</si>
  <si>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</si>
  <si>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</si>
  <si>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</si>
  <si>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</si>
  <si>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</si>
  <si>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</si>
  <si>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</si>
  <si>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</si>
  <si>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</si>
  <si>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</si>
  <si>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</si>
  <si>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</si>
  <si>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</si>
  <si>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</si>
  <si>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</si>
  <si>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</si>
  <si>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</si>
  <si>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</si>
  <si>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</si>
  <si>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</si>
  <si>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</si>
  <si>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</si>
  <si>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</si>
  <si>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</si>
  <si>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</si>
  <si>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</si>
  <si>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</si>
  <si>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</si>
  <si>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</si>
  <si>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</si>
  <si>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</si>
  <si>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</si>
  <si>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</si>
  <si>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</si>
  <si>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</si>
  <si>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</si>
  <si>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</si>
  <si>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</si>
  <si>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</si>
  <si>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</si>
  <si>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</si>
  <si>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</si>
  <si>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</si>
  <si>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</si>
  <si>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</si>
  <si>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</si>
  <si>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</si>
  <si>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</si>
  <si>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</si>
  <si>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</si>
  <si>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</si>
  <si>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</si>
  <si>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</si>
  <si>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</si>
  <si>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</si>
  <si>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</si>
  <si>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</si>
  <si>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</si>
  <si>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</si>
  <si>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</si>
  <si>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</si>
  <si>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</si>
  <si>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</si>
  <si>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</si>
  <si>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</si>
  <si>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</si>
  <si>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</si>
  <si>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</si>
  <si>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</si>
  <si>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</si>
  <si>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</si>
  <si>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</si>
  <si>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</si>
  <si>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</si>
  <si>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</si>
  <si>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</si>
  <si>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</si>
  <si>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</si>
  <si>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</si>
  <si>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</si>
  <si>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</si>
  <si>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</si>
  <si>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</si>
  <si>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</si>
  <si>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</si>
  <si>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</si>
  <si>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</si>
  <si>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</si>
  <si>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</si>
  <si>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</si>
  <si>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</si>
  <si>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</si>
  <si>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</si>
  <si>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</si>
  <si>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</si>
  <si>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</si>
  <si>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</si>
  <si>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</si>
  <si>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</si>
  <si>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</si>
  <si>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</si>
  <si>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</si>
  <si>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</si>
  <si>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</si>
  <si>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</si>
  <si>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</si>
  <si>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</si>
  <si>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</si>
  <si>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</si>
  <si>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</si>
  <si>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</si>
  <si>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</si>
  <si>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</si>
  <si>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</si>
  <si>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</si>
  <si>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</si>
  <si>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</si>
  <si>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</si>
  <si>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</si>
  <si>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</si>
  <si>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</si>
  <si>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</si>
  <si>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</si>
  <si>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</si>
  <si>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</si>
  <si>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</si>
  <si>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</si>
  <si>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</si>
  <si>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</si>
  <si>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</si>
  <si>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</si>
  <si>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</si>
  <si>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</si>
  <si>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</si>
  <si>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</si>
  <si>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</si>
  <si>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</si>
  <si>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</si>
  <si>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</si>
  <si>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</si>
  <si>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</si>
  <si>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</si>
  <si>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</si>
  <si>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</si>
  <si>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</si>
  <si>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</si>
  <si>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</si>
  <si>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</si>
  <si>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</si>
  <si>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</si>
  <si>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</si>
  <si>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</si>
  <si>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</si>
  <si>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</si>
  <si>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</si>
  <si>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</si>
  <si>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</si>
  <si>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</si>
  <si>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</si>
  <si>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</si>
  <si>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</si>
  <si>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</si>
  <si>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</si>
  <si>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</si>
  <si>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</si>
  <si>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</si>
  <si>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</si>
  <si>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</si>
  <si>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</si>
  <si>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</si>
  <si>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</si>
  <si>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</si>
  <si>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</si>
  <si>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</si>
  <si>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</si>
  <si>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</si>
  <si>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</si>
  <si>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</si>
  <si>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</si>
  <si>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</si>
  <si>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</si>
  <si>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</si>
  <si>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</si>
  <si>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</si>
  <si>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</si>
  <si>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</si>
  <si>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</si>
  <si>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</si>
  <si>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</si>
  <si>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</si>
  <si>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</si>
  <si>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</si>
  <si>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</si>
  <si>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</si>
  <si>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</si>
  <si>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</si>
  <si>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</si>
  <si>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</si>
  <si>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</si>
  <si>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</si>
  <si>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</si>
  <si>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</si>
  <si>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</si>
  <si>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</si>
  <si>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</si>
  <si>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</si>
  <si>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</si>
  <si>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</si>
  <si>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</si>
  <si>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</si>
  <si>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</si>
  <si>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</si>
  <si>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</si>
  <si>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</si>
  <si>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</si>
  <si>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</si>
  <si>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</si>
  <si>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</si>
  <si>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</si>
  <si>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</si>
  <si>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</si>
  <si>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</si>
  <si>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</si>
  <si>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</si>
  <si>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</si>
  <si>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</si>
  <si>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</si>
  <si>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</si>
  <si>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</si>
  <si>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</si>
  <si>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</si>
  <si>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</si>
  <si>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</si>
  <si>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</si>
  <si>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</si>
  <si>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</si>
  <si>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</si>
  <si>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</si>
  <si>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</si>
  <si>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</si>
  <si>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</si>
  <si>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</si>
  <si>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</si>
  <si>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</si>
  <si>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</si>
  <si>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</si>
  <si>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</si>
  <si>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</si>
  <si>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</si>
  <si>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</si>
  <si>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</si>
  <si>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</si>
  <si>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</si>
  <si>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</si>
  <si>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</si>
  <si>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</si>
  <si>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</si>
  <si>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</si>
  <si>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</si>
  <si>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</si>
  <si>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</si>
  <si>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</si>
  <si>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</si>
  <si>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</si>
  <si>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</si>
  <si>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</si>
  <si>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</si>
  <si>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</si>
  <si>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</si>
  <si>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</si>
  <si>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</si>
  <si>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</si>
  <si>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</si>
  <si>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</si>
  <si>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</si>
  <si>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</si>
  <si>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</si>
  <si>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</si>
  <si>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</si>
  <si>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</si>
  <si>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</si>
  <si>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</si>
  <si>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</si>
  <si>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</si>
  <si>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</si>
  <si>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</si>
  <si>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</si>
  <si>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</si>
  <si>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</si>
  <si>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</si>
  <si>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</si>
  <si>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</si>
  <si>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</si>
  <si>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</si>
  <si>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</si>
  <si>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</si>
  <si>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</si>
  <si>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</si>
  <si>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</si>
  <si>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</si>
  <si>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</si>
  <si>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</si>
  <si>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</si>
  <si>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</si>
  <si>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</si>
  <si>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</si>
  <si>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</si>
  <si>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</si>
  <si>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</si>
  <si>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</si>
  <si>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</si>
  <si>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</si>
  <si>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</si>
  <si>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</si>
  <si>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</si>
  <si>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</si>
  <si>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</si>
  <si>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</si>
  <si>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</si>
  <si>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</si>
  <si>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</si>
  <si>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</si>
  <si>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</si>
  <si>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</si>
  <si>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</si>
  <si>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</si>
  <si>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</si>
  <si>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</si>
  <si>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</si>
  <si>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</si>
  <si>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</si>
  <si>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</si>
  <si>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</si>
  <si>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</si>
  <si>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</si>
  <si>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</si>
  <si>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</si>
  <si>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</si>
  <si>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</si>
  <si>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</si>
  <si>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</si>
  <si>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</si>
  <si>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</si>
  <si>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</si>
  <si>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</si>
  <si>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</si>
  <si>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</si>
  <si>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</si>
  <si>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</si>
  <si>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</si>
  <si>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</si>
  <si>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</si>
  <si>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</si>
  <si>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</si>
  <si>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</si>
  <si>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</si>
  <si>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</si>
  <si>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</si>
  <si>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</si>
  <si>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</si>
  <si>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</si>
  <si>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</si>
  <si>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</si>
  <si>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</si>
  <si>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</si>
  <si>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</si>
  <si>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</si>
  <si>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</si>
  <si>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</si>
  <si>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</si>
  <si>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</si>
  <si>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</si>
  <si>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</si>
  <si>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</si>
  <si>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</si>
  <si>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</si>
  <si>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</si>
  <si>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</si>
  <si>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</si>
  <si>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</si>
  <si>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</si>
  <si>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</si>
  <si>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</si>
  <si>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</si>
  <si>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</si>
  <si>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</si>
  <si>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</si>
  <si>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</si>
  <si>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</si>
  <si>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</si>
  <si>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</si>
  <si>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</si>
  <si>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</si>
  <si>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</si>
  <si>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</si>
  <si>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</si>
  <si>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</si>
  <si>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</si>
  <si>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</si>
  <si>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</si>
  <si>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</si>
  <si>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</si>
  <si>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</si>
  <si>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</si>
  <si>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</si>
  <si>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</si>
  <si>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</si>
  <si>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</si>
  <si>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</si>
  <si>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</si>
  <si>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</si>
  <si>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</si>
  <si>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</si>
  <si>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</si>
  <si>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</si>
  <si>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</si>
  <si>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</si>
  <si>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</si>
  <si>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</si>
  <si>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</si>
  <si>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</si>
  <si>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</si>
  <si>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</si>
  <si>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</si>
  <si>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</si>
  <si>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</si>
  <si>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</si>
  <si>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</si>
  <si>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</si>
  <si>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</si>
  <si>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</si>
  <si>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</si>
  <si>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</si>
  <si>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</si>
  <si>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</si>
  <si>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</si>
  <si>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</si>
  <si>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</si>
  <si>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</si>
  <si>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</si>
  <si>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</si>
  <si>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</si>
  <si>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</si>
  <si>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</si>
  <si>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</si>
  <si>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</si>
  <si>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</si>
  <si>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</si>
  <si>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</si>
  <si>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</si>
  <si>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</si>
  <si>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</si>
  <si>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</si>
  <si>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</si>
  <si>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</si>
  <si>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</si>
  <si>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</si>
  <si>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</si>
  <si>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</si>
  <si>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</si>
  <si>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</si>
  <si>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</si>
  <si>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</si>
  <si>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</si>
  <si>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</si>
  <si>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</si>
  <si>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</si>
  <si>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</si>
  <si>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</si>
  <si>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</si>
  <si>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</si>
  <si>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</si>
  <si>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</si>
  <si>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</si>
  <si>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</si>
  <si>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</si>
  <si>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</si>
  <si>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</si>
  <si>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</si>
  <si>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</si>
  <si>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</si>
  <si>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</si>
  <si>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</si>
  <si>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</si>
  <si>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</si>
  <si>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</si>
  <si>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</si>
  <si>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</si>
  <si>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</si>
  <si>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</si>
  <si>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</si>
  <si>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</si>
  <si>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</si>
  <si>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</si>
  <si>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</si>
  <si>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</si>
  <si>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</si>
  <si>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</si>
  <si>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</si>
  <si>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</si>
  <si>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</si>
  <si>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</si>
  <si>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</si>
  <si>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</si>
  <si>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</si>
  <si>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</si>
  <si>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</si>
  <si>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</si>
  <si>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</si>
  <si>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</si>
  <si>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</si>
  <si>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</si>
  <si>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</si>
  <si>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</si>
  <si>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</si>
  <si>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</si>
  <si>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</si>
  <si>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</si>
  <si>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</si>
  <si>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</si>
  <si>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</si>
  <si>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</si>
  <si>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</si>
  <si>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</si>
  <si>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</si>
  <si>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</si>
  <si>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</si>
  <si>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</si>
  <si>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</si>
  <si>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</si>
  <si>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</si>
  <si>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</si>
  <si>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</si>
  <si>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</si>
  <si>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</si>
  <si>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</si>
  <si>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</si>
  <si>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</si>
  <si>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</si>
  <si>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</si>
  <si>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</si>
  <si>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</si>
  <si>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</si>
  <si>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</si>
  <si>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</si>
  <si>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</si>
  <si>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</si>
  <si>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</si>
  <si>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</si>
  <si>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</si>
  <si>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</si>
  <si>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</si>
  <si>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</si>
  <si>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</si>
  <si>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</si>
  <si>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</si>
  <si>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</si>
  <si>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</si>
  <si>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</si>
  <si>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</si>
  <si>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</si>
  <si>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</si>
  <si>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</si>
  <si>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</si>
  <si>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</si>
  <si>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</si>
  <si>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</si>
  <si>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</si>
  <si>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</si>
  <si>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</si>
  <si>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</si>
  <si>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</si>
  <si>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</si>
  <si>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</si>
  <si>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</si>
  <si>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</si>
  <si>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</si>
  <si>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</si>
  <si>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</si>
  <si>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</si>
  <si>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</si>
  <si>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</si>
  <si>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</si>
  <si>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</si>
  <si>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</si>
  <si>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</si>
  <si>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</si>
  <si>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</si>
  <si>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</si>
  <si>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</si>
  <si>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</si>
  <si>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</si>
  <si>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</si>
  <si>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</si>
  <si>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</si>
  <si>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</si>
  <si>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</si>
  <si>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</si>
  <si>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</si>
  <si>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</si>
  <si>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</si>
  <si>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</si>
  <si>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</si>
  <si>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</si>
  <si>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</si>
  <si>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</si>
  <si>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</si>
  <si>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</si>
  <si>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</si>
  <si>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</si>
  <si>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</si>
  <si>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</si>
  <si>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</si>
  <si>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</si>
  <si>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</si>
  <si>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</si>
  <si>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</si>
  <si>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</si>
  <si>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</si>
  <si>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</si>
  <si>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</si>
  <si>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</si>
  <si>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</si>
  <si>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</si>
  <si>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</si>
  <si>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</si>
  <si>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</si>
  <si>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</si>
  <si>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</si>
  <si>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</si>
  <si>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</si>
  <si>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</si>
  <si>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</si>
  <si>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</si>
  <si>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</si>
  <si>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</si>
  <si>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</si>
  <si>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</si>
  <si>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</si>
  <si>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</si>
  <si>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</si>
  <si>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</si>
  <si>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</si>
  <si>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</si>
  <si>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</si>
  <si>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</si>
  <si>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</si>
  <si>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</si>
  <si>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</si>
  <si>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</si>
  <si>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</si>
  <si>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</si>
  <si>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</si>
  <si>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</si>
  <si>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</si>
  <si>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</si>
  <si>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</si>
  <si>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</si>
  <si>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</si>
  <si>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</si>
  <si>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</si>
  <si>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</si>
  <si>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</si>
  <si>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</si>
  <si>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</si>
  <si>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</si>
  <si>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</si>
  <si>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</si>
  <si>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</si>
  <si>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</si>
  <si>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</si>
  <si>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</si>
  <si>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</si>
  <si>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</si>
  <si>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</si>
  <si>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</si>
  <si>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</si>
  <si>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</si>
  <si>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</si>
  <si>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</si>
  <si>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</si>
  <si>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</si>
  <si>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</si>
  <si>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</si>
  <si>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</si>
  <si>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</si>
  <si>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</si>
  <si>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</si>
  <si>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</si>
  <si>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</si>
  <si>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</si>
  <si>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</si>
  <si>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</si>
  <si>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</si>
  <si>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</si>
  <si>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</si>
  <si>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</si>
  <si>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</si>
  <si>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</si>
  <si>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</si>
  <si>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</si>
  <si>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</si>
  <si>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</si>
  <si>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</si>
  <si>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</si>
  <si>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</si>
  <si>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</si>
  <si>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</si>
  <si>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</si>
  <si>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</si>
  <si>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</si>
  <si>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</si>
  <si>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</si>
  <si>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</si>
  <si>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</si>
  <si>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</si>
  <si>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</si>
  <si>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</si>
  <si>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</si>
  <si>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</si>
  <si>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</si>
  <si>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</si>
  <si>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</si>
  <si>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</si>
  <si>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</si>
  <si>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</si>
  <si>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</si>
  <si>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</si>
  <si>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</si>
  <si>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</si>
  <si>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</si>
  <si>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</si>
  <si>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</si>
  <si>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</si>
  <si>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</si>
  <si>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</si>
  <si>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</si>
  <si>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</si>
  <si>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</si>
  <si>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</si>
  <si>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</si>
  <si>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</si>
  <si>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</si>
  <si>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</si>
  <si>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</si>
  <si>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</si>
  <si>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</si>
  <si>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</si>
  <si>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</si>
  <si>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</si>
  <si>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</si>
  <si>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</si>
  <si>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</si>
  <si>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</si>
  <si>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</si>
  <si>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</si>
  <si>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</si>
  <si>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</si>
  <si>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</si>
  <si>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</si>
  <si>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</si>
  <si>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</si>
  <si>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</si>
  <si>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</si>
  <si>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</si>
  <si>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</si>
  <si>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</si>
  <si>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</si>
  <si>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</si>
  <si>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</si>
  <si>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</si>
  <si>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</si>
  <si>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</si>
  <si>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</si>
  <si>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</si>
  <si>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</si>
  <si>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</si>
  <si>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</si>
  <si>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</si>
  <si>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</si>
  <si>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</si>
  <si>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</si>
  <si>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</si>
  <si>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</si>
  <si>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</si>
  <si>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</si>
  <si>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</si>
  <si>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</si>
  <si>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</si>
  <si>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</si>
  <si>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</si>
  <si>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</si>
  <si>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</si>
  <si>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</si>
  <si>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</si>
  <si>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</si>
  <si>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</si>
  <si>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</si>
  <si>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</si>
  <si>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</si>
  <si>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</si>
  <si>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</si>
  <si>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</si>
  <si>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</si>
  <si>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</si>
  <si>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</si>
  <si>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</si>
  <si>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</si>
  <si>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</si>
  <si>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</si>
  <si>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</si>
  <si>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</si>
  <si>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</si>
  <si>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</si>
  <si>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</si>
  <si>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</si>
  <si>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</si>
  <si>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</si>
  <si>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</si>
  <si>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</si>
  <si>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</si>
  <si>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</si>
  <si>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</si>
  <si>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</si>
  <si>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</si>
  <si>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</si>
  <si>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</si>
  <si>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</si>
  <si>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</si>
  <si>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</si>
  <si>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</si>
  <si>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</si>
  <si>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</si>
  <si>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</si>
  <si>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</si>
  <si>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</si>
  <si>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</si>
  <si>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</si>
  <si>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</si>
  <si>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</si>
  <si>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</si>
  <si>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</si>
  <si>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</si>
  <si>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</si>
  <si>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</si>
  <si>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</si>
  <si>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</si>
  <si>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</si>
  <si>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</si>
  <si>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</si>
  <si>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</si>
  <si>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</si>
  <si>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</si>
  <si>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</si>
  <si>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</si>
  <si>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</si>
  <si>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</si>
  <si>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</si>
  <si>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</si>
  <si>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</si>
  <si>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</si>
  <si>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</si>
  <si>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</si>
  <si>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</si>
  <si>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</si>
  <si>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</si>
  <si>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</si>
  <si>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</si>
  <si>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</si>
  <si>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</si>
  <si>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</si>
  <si>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</si>
  <si>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</si>
  <si>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</si>
  <si>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</si>
  <si>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</si>
  <si>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</si>
  <si>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</si>
  <si>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</si>
  <si>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</si>
  <si>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</si>
  <si>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</si>
  <si>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</si>
  <si>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</si>
  <si>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</si>
  <si>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</si>
  <si>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</si>
  <si>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</si>
  <si>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</si>
  <si>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</si>
  <si>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</si>
  <si>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</si>
  <si>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</si>
  <si>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</si>
  <si>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</si>
  <si>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</si>
  <si>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</si>
  <si>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</si>
  <si>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</si>
  <si>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</si>
  <si>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</si>
  <si>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</si>
  <si>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</si>
  <si>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</si>
  <si>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</si>
  <si>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</si>
  <si>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</si>
  <si>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</si>
  <si>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</si>
  <si>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</si>
  <si>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</si>
  <si>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</si>
  <si>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</si>
  <si>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</si>
  <si>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</si>
  <si>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</si>
  <si>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</si>
  <si>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</si>
  <si>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</si>
  <si>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</si>
  <si>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</si>
  <si>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</si>
  <si>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</si>
  <si>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</si>
  <si>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</si>
  <si>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</si>
  <si>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</si>
  <si>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</si>
  <si>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</si>
  <si>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</si>
  <si>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</si>
  <si>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</si>
  <si>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</si>
  <si>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</si>
  <si>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</si>
  <si>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</si>
  <si>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</si>
  <si>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</si>
  <si>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</si>
  <si>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</si>
  <si>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</si>
  <si>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</si>
  <si>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</si>
  <si>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</si>
  <si>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</si>
  <si>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</si>
  <si>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</si>
  <si>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</si>
  <si>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</si>
  <si>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</si>
  <si>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</si>
  <si>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</si>
  <si>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</si>
  <si>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</si>
  <si>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</si>
  <si>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</si>
  <si>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</si>
  <si>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</si>
  <si>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</si>
  <si>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</si>
  <si>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</si>
  <si>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</si>
  <si>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</si>
  <si>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</si>
  <si>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</si>
  <si>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</si>
  <si>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</si>
  <si>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</si>
  <si>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</si>
  <si>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</si>
  <si>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</si>
  <si>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</si>
  <si>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</si>
  <si>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</si>
  <si>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</si>
  <si>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</si>
  <si>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</si>
  <si>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</si>
  <si>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</si>
  <si>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</si>
  <si>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</si>
  <si>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</si>
  <si>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</si>
  <si>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</si>
  <si>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</si>
  <si>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</si>
  <si>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</si>
  <si>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</si>
  <si>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</si>
  <si>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</si>
  <si>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</si>
  <si>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</si>
  <si>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</si>
  <si>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</si>
  <si>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</si>
  <si>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</si>
  <si>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</si>
  <si>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</si>
  <si>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</si>
  <si>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</si>
  <si>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</si>
  <si>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</si>
  <si>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</si>
  <si>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</si>
  <si>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</si>
  <si>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</si>
  <si>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</si>
  <si>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</si>
  <si>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</si>
  <si>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</si>
  <si>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</si>
  <si>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</si>
  <si>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</si>
  <si>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</si>
  <si>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</si>
  <si>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</si>
  <si>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</si>
  <si>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</si>
  <si>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</si>
  <si>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</si>
  <si>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</si>
  <si>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</si>
  <si>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</si>
  <si>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</si>
  <si>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</si>
  <si>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</si>
  <si>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</si>
  <si>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</si>
  <si>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</si>
  <si>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</si>
  <si>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</si>
  <si>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</si>
  <si>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</si>
  <si>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</si>
  <si>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</si>
  <si>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</si>
  <si>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</si>
  <si>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</si>
  <si>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</si>
  <si>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</si>
  <si>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</si>
  <si>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</si>
  <si>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</si>
  <si>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</si>
  <si>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</si>
  <si>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</si>
  <si>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</si>
  <si>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</si>
  <si>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</si>
  <si>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</si>
  <si>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</si>
  <si>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</si>
  <si>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</si>
  <si>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</si>
  <si>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</si>
  <si>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</si>
  <si>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</si>
  <si>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</si>
  <si>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</si>
  <si>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</si>
  <si>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</si>
  <si>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</si>
  <si>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</si>
  <si>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</si>
  <si>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</si>
  <si>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</si>
  <si>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</si>
  <si>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</si>
  <si>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</si>
  <si>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</si>
  <si>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</si>
  <si>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</si>
  <si>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</si>
  <si>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</si>
  <si>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</si>
  <si>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</si>
  <si>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</si>
  <si>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</si>
  <si>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</si>
  <si>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</si>
  <si>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</si>
  <si>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</si>
  <si>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</si>
  <si>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</si>
  <si>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</si>
  <si>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</si>
  <si>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</si>
  <si>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</si>
  <si>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</si>
  <si>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</si>
  <si>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</si>
  <si>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</si>
  <si>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</si>
  <si>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</si>
  <si>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</si>
  <si>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</si>
  <si>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</si>
  <si>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</si>
  <si>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</si>
  <si>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</si>
  <si>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</si>
  <si>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</si>
  <si>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</si>
  <si>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</si>
  <si>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</si>
  <si>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</si>
  <si>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</si>
  <si>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</si>
  <si>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</si>
  <si>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</si>
  <si>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</si>
  <si>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</si>
  <si>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</si>
  <si>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</si>
  <si>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</si>
  <si>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</si>
  <si>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</si>
  <si>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</si>
  <si>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</si>
  <si>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</si>
  <si>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</si>
  <si>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</si>
  <si>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</si>
  <si>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</si>
  <si>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</si>
  <si>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</si>
  <si>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</si>
  <si>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</si>
  <si>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</si>
  <si>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</si>
  <si>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</si>
  <si>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</si>
  <si>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</si>
  <si>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</si>
  <si>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</si>
  <si>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</si>
  <si>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</si>
  <si>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</si>
  <si>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</si>
  <si>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</si>
  <si>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</si>
  <si>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</si>
  <si>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</si>
  <si>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</si>
  <si>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</si>
  <si>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</si>
  <si>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</si>
  <si>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</si>
  <si>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</si>
  <si>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</si>
  <si>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</si>
  <si>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</si>
  <si>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</si>
  <si>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</si>
  <si>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</si>
  <si>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</si>
  <si>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</si>
  <si>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</si>
  <si>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</si>
  <si>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</si>
  <si>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</si>
  <si>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</si>
  <si>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</si>
  <si>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</si>
  <si>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</si>
  <si>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</si>
  <si>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</si>
  <si>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</si>
  <si>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</si>
  <si>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</si>
  <si>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</si>
  <si>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</si>
  <si>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</si>
  <si>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</si>
  <si>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</si>
  <si>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</si>
  <si>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</si>
  <si>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</si>
  <si>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</si>
  <si>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</si>
  <si>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</si>
  <si>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</si>
  <si>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</si>
  <si>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</si>
  <si>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</si>
  <si>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</si>
  <si>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</si>
  <si>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</si>
  <si>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</si>
  <si>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</si>
  <si>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</si>
  <si>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</si>
  <si>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</si>
  <si>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</si>
  <si>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</si>
  <si>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</si>
  <si>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</si>
  <si>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</si>
  <si>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</si>
  <si>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</si>
  <si>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</si>
  <si>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</si>
  <si>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</si>
  <si>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</si>
  <si>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</si>
  <si>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</si>
  <si>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</si>
  <si>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</si>
  <si>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</si>
  <si>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</si>
  <si>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</si>
  <si>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</si>
  <si>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</si>
  <si>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</si>
  <si>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</si>
  <si>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</si>
  <si>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</si>
  <si>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</si>
  <si>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</si>
  <si>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</si>
  <si>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</si>
  <si>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</si>
  <si>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</si>
  <si>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</si>
  <si>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</si>
  <si>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</si>
  <si>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</si>
  <si>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</si>
  <si>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</si>
  <si>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</si>
  <si>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</si>
  <si>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</si>
  <si>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</si>
  <si>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</si>
  <si>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</si>
  <si>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</si>
  <si>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</si>
  <si>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</si>
  <si>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</si>
  <si>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</si>
  <si>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</si>
  <si>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</si>
  <si>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</si>
  <si>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</si>
  <si>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</si>
  <si>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</si>
  <si>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</si>
  <si>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</si>
  <si>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</si>
  <si>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</si>
  <si>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</si>
  <si>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</si>
  <si>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</si>
  <si>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</si>
  <si>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</si>
  <si>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</si>
  <si>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</si>
  <si>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</si>
  <si>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</si>
  <si>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</si>
  <si>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</si>
  <si>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</si>
  <si>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</si>
  <si>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</si>
  <si>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</si>
  <si>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</si>
  <si>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</si>
  <si>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</si>
  <si>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</si>
  <si>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</si>
  <si>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</si>
  <si>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</si>
  <si>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</si>
  <si>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</si>
  <si>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</si>
  <si>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</si>
  <si>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</si>
  <si>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</si>
  <si>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</si>
  <si>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</si>
  <si>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</si>
  <si>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</si>
  <si>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</si>
  <si>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</si>
  <si>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</si>
  <si>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</si>
  <si>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</si>
  <si>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</si>
  <si>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</si>
  <si>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</si>
  <si>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</si>
  <si>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</si>
  <si>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</si>
  <si>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</si>
  <si>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</si>
  <si>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</si>
  <si>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</si>
  <si>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</si>
  <si>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</si>
  <si>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</si>
  <si>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</si>
  <si>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</si>
  <si>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</si>
  <si>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</si>
  <si>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</si>
  <si>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</si>
  <si>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</si>
  <si>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</si>
  <si>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</si>
  <si>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</si>
  <si>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</si>
  <si>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</si>
  <si>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</si>
  <si>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</si>
  <si>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</si>
  <si>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</si>
  <si>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</si>
  <si>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</si>
  <si>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</si>
  <si>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</si>
  <si>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</si>
  <si>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</si>
  <si>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</si>
  <si>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</si>
  <si>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</si>
  <si>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</si>
  <si>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</si>
  <si>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</si>
  <si>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</si>
  <si>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</si>
  <si>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</si>
  <si>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</si>
  <si>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</si>
  <si>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</si>
  <si>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</si>
  <si>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</si>
  <si>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</si>
  <si>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</si>
  <si>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</si>
  <si>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</si>
  <si>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</si>
  <si>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</si>
  <si>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</si>
  <si>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</si>
  <si>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</si>
  <si>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</si>
  <si>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</si>
  <si>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</si>
  <si>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</si>
  <si>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</si>
  <si>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</si>
  <si>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</si>
  <si>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</si>
  <si>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</si>
  <si>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</si>
  <si>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</si>
  <si>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</si>
  <si>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</si>
  <si>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</si>
  <si>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</si>
  <si>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</si>
  <si>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</si>
  <si>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</si>
  <si>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</si>
  <si>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</si>
  <si>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</si>
  <si>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</si>
  <si>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</si>
  <si>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</si>
  <si>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</si>
  <si>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</si>
  <si>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</si>
  <si>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</si>
  <si>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</si>
  <si>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</si>
  <si>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</si>
  <si>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</si>
  <si>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</si>
  <si>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</si>
  <si>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</si>
  <si>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</si>
  <si>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</si>
  <si>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</si>
  <si>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</si>
  <si>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</si>
  <si>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</si>
  <si>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</si>
  <si>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</si>
  <si>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</si>
  <si>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</si>
  <si>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</si>
  <si>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</si>
  <si>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</si>
  <si>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</si>
  <si>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</si>
  <si>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</si>
  <si>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</si>
  <si>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</si>
  <si>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</si>
  <si>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</si>
  <si>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</si>
  <si>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</si>
  <si>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</si>
  <si>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</si>
  <si>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</si>
  <si>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</si>
  <si>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</si>
  <si>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</si>
  <si>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</si>
  <si>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</si>
  <si>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</si>
  <si>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</si>
  <si>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</si>
  <si>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</si>
  <si>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</si>
  <si>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</si>
  <si>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</si>
  <si>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</si>
  <si>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</si>
  <si>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</si>
  <si>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</si>
  <si>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</si>
  <si>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</si>
  <si>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</si>
  <si>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</si>
  <si>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</si>
  <si>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</si>
  <si>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</si>
  <si>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</si>
  <si>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</si>
  <si>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</si>
  <si>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</si>
  <si>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</si>
  <si>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</si>
  <si>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</si>
  <si>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</si>
  <si>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</si>
  <si>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</si>
  <si>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</si>
  <si>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</si>
  <si>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</si>
  <si>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</si>
  <si>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</si>
  <si>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</si>
  <si>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</si>
  <si>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</si>
  <si>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</si>
  <si>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</si>
  <si>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</si>
  <si>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</si>
  <si>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</si>
  <si>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</si>
  <si>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</si>
  <si>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</si>
  <si>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</si>
  <si>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</si>
  <si>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</si>
  <si>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</si>
  <si>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</si>
  <si>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</si>
  <si>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</si>
  <si>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</si>
  <si>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</si>
  <si>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</si>
  <si>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</si>
  <si>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</si>
  <si>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</si>
  <si>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</si>
  <si>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</si>
  <si>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</si>
  <si>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</si>
  <si>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</si>
  <si>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</si>
  <si>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</si>
  <si>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</si>
  <si>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</si>
  <si>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</si>
  <si>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</si>
  <si>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</si>
  <si>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</si>
  <si>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</si>
  <si>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</si>
  <si>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</si>
  <si>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</si>
  <si>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</si>
  <si>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</si>
  <si>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</si>
  <si>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</si>
  <si>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</si>
  <si>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</si>
  <si>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</si>
  <si>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</si>
  <si>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</si>
  <si>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</si>
  <si>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</si>
  <si>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</si>
  <si>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</si>
  <si>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</si>
  <si>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</si>
  <si>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</si>
  <si>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</si>
  <si>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</si>
  <si>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</si>
  <si>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</si>
  <si>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</si>
  <si>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</si>
  <si>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</si>
  <si>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</si>
  <si>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</si>
  <si>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</si>
  <si>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</si>
  <si>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</si>
  <si>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</si>
  <si>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</si>
  <si>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</si>
  <si>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</si>
  <si>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</si>
  <si>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</si>
  <si>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</si>
  <si>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</si>
  <si>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</si>
  <si>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</si>
  <si>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</si>
  <si>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</si>
  <si>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</si>
  <si>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</si>
  <si>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</si>
  <si>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</si>
  <si>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</si>
  <si>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</si>
  <si>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</si>
  <si>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</si>
  <si>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</si>
  <si>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</si>
  <si>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</si>
  <si>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</si>
  <si>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</si>
  <si>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</si>
  <si>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</si>
  <si>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</si>
  <si>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</si>
  <si>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</si>
  <si>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</si>
  <si>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</si>
  <si>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</si>
  <si>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</si>
  <si>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</si>
  <si>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</si>
  <si>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</si>
  <si>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</si>
  <si>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</si>
  <si>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</si>
  <si>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</si>
  <si>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</si>
  <si>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</si>
  <si>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</si>
  <si>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</si>
  <si>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</si>
  <si>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</si>
  <si>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</si>
  <si>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</si>
  <si>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</si>
  <si>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</si>
  <si>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</si>
  <si>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</si>
  <si>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</si>
  <si>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</si>
  <si>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</si>
  <si>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</si>
  <si>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</si>
  <si>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</si>
  <si>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</si>
  <si>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</si>
  <si>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</si>
  <si>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</si>
  <si>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</si>
  <si>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</si>
  <si>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</si>
  <si>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</si>
  <si>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</si>
  <si>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</si>
  <si>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</si>
  <si>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</si>
  <si>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</si>
  <si>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</si>
  <si>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</si>
  <si>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</si>
  <si>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</si>
  <si>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</si>
  <si>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</si>
  <si>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</si>
  <si>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</si>
  <si>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</si>
  <si>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</si>
  <si>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</si>
  <si>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</si>
  <si>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</si>
  <si>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</si>
  <si>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</si>
  <si>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</si>
  <si>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</si>
  <si>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</si>
  <si>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</si>
  <si>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</si>
  <si>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</si>
  <si>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</si>
  <si>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</si>
  <si>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</si>
  <si>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</si>
  <si>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</si>
  <si>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</si>
  <si>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</si>
  <si>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</si>
  <si>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</si>
  <si>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</si>
  <si>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</si>
  <si>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</si>
  <si>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</si>
  <si>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</si>
  <si>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</si>
  <si>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</si>
  <si>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</si>
  <si>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</si>
  <si>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</si>
  <si>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</si>
  <si>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</si>
  <si>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</si>
  <si>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</si>
  <si>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</si>
  <si>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</si>
  <si>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</si>
  <si>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</si>
  <si>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</si>
  <si>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</si>
  <si>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</si>
  <si>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</si>
  <si>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</si>
  <si>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</si>
  <si>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</si>
  <si>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</si>
  <si>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</si>
  <si>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</si>
  <si>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</si>
  <si>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</si>
  <si>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</si>
  <si>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</si>
  <si>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</si>
  <si>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</si>
  <si>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</si>
  <si>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</si>
  <si>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</si>
  <si>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</si>
  <si>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</si>
  <si>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</si>
  <si>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</si>
  <si>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</si>
  <si>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</si>
  <si>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</si>
  <si>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</si>
  <si>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</si>
  <si>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</si>
  <si>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</si>
  <si>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</si>
  <si>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</si>
  <si>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</si>
  <si>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</si>
  <si>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</si>
  <si>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</si>
  <si>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</si>
  <si>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</si>
  <si>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</si>
  <si>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</si>
  <si>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</si>
  <si>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</si>
  <si>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</si>
  <si>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</si>
  <si>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</si>
  <si>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</si>
  <si>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</si>
  <si>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</si>
  <si>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</si>
  <si>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</si>
  <si>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</si>
  <si>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</si>
  <si>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</si>
  <si>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</si>
  <si>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</si>
  <si>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</si>
  <si>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</si>
  <si>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</si>
  <si>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</si>
  <si>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</si>
  <si>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</si>
  <si>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</si>
  <si>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</si>
  <si>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</si>
  <si>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</si>
  <si>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</si>
  <si>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</si>
  <si>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</si>
  <si>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</si>
  <si>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</si>
  <si>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</si>
  <si>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</si>
  <si>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</si>
  <si>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</si>
  <si>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</si>
  <si>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</si>
  <si>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</si>
  <si>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</si>
  <si>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</si>
  <si>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</si>
  <si>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</si>
  <si>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</si>
  <si>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</si>
  <si>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</si>
  <si>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</si>
  <si>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</si>
  <si>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</si>
  <si>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</si>
  <si>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</si>
  <si>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</si>
  <si>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</si>
  <si>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</si>
  <si>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</si>
  <si>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</si>
  <si>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</si>
  <si>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</si>
  <si>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</si>
  <si>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</si>
  <si>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</si>
  <si>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</si>
  <si>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</si>
  <si>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</si>
  <si>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</si>
  <si>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</si>
  <si>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</si>
  <si>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</si>
  <si>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</si>
  <si>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</si>
  <si>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</si>
  <si>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</si>
  <si>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</si>
  <si>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</si>
  <si>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</si>
  <si>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</si>
  <si>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</si>
  <si>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</si>
  <si>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</si>
  <si>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</si>
  <si>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</si>
  <si>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</si>
  <si>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</si>
  <si>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</si>
  <si>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</si>
  <si>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</si>
  <si>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</si>
  <si>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</si>
  <si>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</si>
  <si>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</si>
  <si>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</si>
  <si>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</si>
  <si>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</si>
  <si>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</si>
  <si>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</si>
  <si>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</si>
  <si>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</si>
  <si>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</si>
  <si>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</si>
  <si>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</si>
  <si>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</si>
  <si>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</si>
  <si>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</si>
  <si>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</si>
  <si>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</si>
  <si>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</si>
  <si>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</si>
  <si>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</si>
  <si>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</si>
  <si>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</si>
  <si>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</si>
  <si>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</si>
  <si>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</si>
  <si>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</si>
  <si>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</si>
  <si>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</si>
  <si>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</si>
  <si>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</si>
  <si>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</si>
  <si>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</si>
  <si>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</si>
  <si>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</si>
  <si>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</si>
  <si>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</si>
  <si>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</si>
  <si>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</si>
  <si>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</si>
  <si>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</si>
  <si>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</si>
  <si>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</si>
  <si>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</si>
  <si>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</si>
  <si>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</si>
  <si>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</si>
  <si>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</si>
  <si>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</si>
  <si>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</si>
  <si>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</si>
  <si>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</si>
  <si>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</si>
  <si>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</si>
  <si>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</si>
  <si>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</si>
  <si>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</si>
  <si>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</si>
  <si>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</si>
  <si>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</si>
  <si>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</si>
  <si>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</si>
  <si>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</si>
  <si>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</si>
  <si>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</si>
  <si>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</si>
  <si>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</si>
  <si>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</si>
  <si>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</si>
  <si>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</si>
  <si>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</si>
  <si>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</si>
  <si>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</si>
  <si>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</si>
  <si>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</si>
  <si>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</si>
  <si>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</si>
  <si>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</si>
  <si>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</si>
  <si>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</si>
  <si>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</si>
  <si>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</si>
  <si>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</si>
  <si>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</si>
  <si>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</si>
  <si>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</si>
  <si>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</si>
  <si>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</si>
  <si>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</si>
  <si>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</si>
  <si>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</si>
  <si>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</si>
  <si>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</si>
  <si>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</si>
  <si>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</si>
  <si>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</si>
  <si>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</si>
  <si>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</si>
  <si>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</si>
  <si>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</si>
  <si>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</si>
  <si>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</si>
  <si>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</si>
  <si>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</si>
  <si>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</si>
  <si>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</si>
  <si>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</si>
  <si>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</si>
  <si>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</si>
  <si>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</si>
  <si>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</si>
  <si>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</si>
  <si>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</si>
  <si>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</si>
  <si>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</si>
  <si>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</si>
  <si>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</si>
  <si>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</si>
  <si>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</si>
  <si>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</si>
  <si>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</si>
  <si>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</si>
  <si>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</si>
  <si>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</si>
  <si>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</si>
  <si>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</si>
  <si>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</si>
  <si>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</si>
  <si>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</si>
  <si>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</si>
  <si>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</si>
  <si>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</si>
  <si>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</si>
  <si>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</si>
  <si>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</si>
  <si>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</si>
  <si>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</si>
  <si>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</si>
  <si>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</si>
  <si>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</si>
  <si>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</si>
  <si>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</si>
  <si>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</si>
  <si>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</si>
  <si>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</si>
  <si>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</si>
  <si>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</si>
  <si>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</si>
  <si>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</si>
  <si>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</si>
  <si>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</si>
  <si>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</si>
  <si>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</si>
  <si>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</si>
  <si>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</si>
  <si>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</si>
  <si>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</si>
  <si>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</si>
  <si>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</si>
  <si>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</si>
  <si>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</si>
  <si>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</si>
  <si>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</si>
  <si>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</si>
  <si>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</si>
  <si>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</si>
  <si>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</si>
  <si>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</si>
  <si>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</si>
  <si>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</si>
  <si>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</si>
  <si>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</si>
  <si>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</si>
  <si>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</si>
  <si>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</si>
  <si>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</si>
  <si>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</si>
  <si>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</si>
  <si>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</si>
  <si>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</si>
  <si>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</si>
  <si>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</si>
  <si>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</si>
  <si>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</si>
  <si>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</si>
  <si>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</si>
  <si>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</si>
  <si>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</si>
  <si>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</si>
  <si>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</si>
  <si>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</si>
  <si>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</si>
  <si>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</si>
  <si>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</si>
  <si>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</si>
  <si>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</si>
  <si>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</si>
  <si>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</si>
  <si>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</si>
  <si>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</si>
  <si>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</si>
  <si>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</si>
  <si>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</si>
  <si>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</si>
  <si>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</si>
  <si>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</si>
  <si>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</si>
  <si>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</si>
  <si>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</si>
  <si>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</si>
  <si>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</si>
  <si>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</si>
  <si>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</si>
  <si>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</si>
  <si>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</si>
  <si>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</si>
  <si>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</si>
  <si>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</si>
  <si>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</si>
  <si>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</si>
  <si>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</si>
  <si>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</si>
  <si>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</si>
  <si>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</si>
  <si>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</si>
  <si>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</si>
  <si>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</si>
  <si>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</si>
  <si>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</si>
  <si>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</si>
  <si>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</si>
  <si>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</si>
  <si>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</si>
  <si>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</si>
  <si>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</si>
  <si>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</si>
  <si>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</si>
  <si>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</si>
  <si>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</si>
  <si>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</si>
  <si>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</si>
  <si>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</si>
  <si>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</si>
  <si>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</si>
  <si>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</si>
  <si>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</si>
  <si>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</si>
  <si>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</si>
  <si>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</si>
  <si>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</si>
  <si>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</si>
  <si>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</si>
  <si>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</si>
  <si>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</si>
  <si>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</si>
  <si>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</si>
  <si>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</si>
  <si>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</si>
  <si>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</si>
  <si>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</si>
  <si>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</si>
  <si>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</si>
  <si>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</si>
  <si>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</si>
  <si>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</si>
  <si>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</si>
  <si>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</si>
  <si>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</si>
  <si>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</si>
  <si>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</si>
  <si>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</si>
  <si>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</si>
  <si>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</si>
  <si>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</si>
  <si>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</si>
  <si>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</si>
  <si>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</si>
  <si>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</si>
  <si>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</si>
  <si>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</si>
  <si>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</si>
  <si>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</si>
  <si>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</si>
  <si>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</si>
  <si>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</si>
  <si>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</si>
  <si>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</si>
  <si>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</si>
  <si>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</si>
  <si>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</si>
  <si>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</si>
  <si>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</si>
  <si>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</si>
  <si>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</si>
  <si>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</si>
  <si>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</si>
  <si>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</si>
  <si>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</si>
  <si>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</si>
  <si>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</si>
  <si>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</si>
  <si>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</si>
  <si>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</si>
  <si>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</si>
  <si>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</si>
  <si>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</si>
  <si>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</si>
  <si>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</si>
  <si>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</si>
  <si>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</si>
  <si>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</si>
  <si>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</si>
  <si>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</si>
  <si>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</si>
  <si>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</si>
  <si>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</si>
  <si>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</si>
  <si>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</si>
  <si>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</si>
  <si>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</si>
  <si>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</si>
  <si>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</si>
  <si>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</si>
  <si>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</si>
  <si>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</si>
  <si>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</si>
  <si>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</si>
  <si>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</si>
  <si>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</si>
  <si>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</si>
  <si>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</si>
  <si>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</si>
  <si>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</si>
  <si>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</si>
  <si>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</si>
  <si>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</si>
  <si>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</si>
  <si>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</si>
  <si>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</si>
  <si>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</si>
  <si>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</si>
  <si>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</si>
  <si>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</si>
  <si>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</si>
  <si>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</si>
  <si>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</si>
  <si>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</si>
  <si>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</si>
  <si>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</si>
  <si>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</si>
  <si>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</si>
  <si>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</si>
  <si>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</si>
  <si>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</si>
  <si>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</si>
  <si>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</si>
  <si>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</si>
  <si>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</si>
  <si>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</si>
  <si>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</si>
  <si>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</si>
  <si>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</si>
  <si>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</si>
  <si>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</si>
  <si>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</si>
  <si>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</si>
  <si>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</si>
  <si>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</si>
  <si>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</si>
  <si>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</si>
  <si>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</si>
  <si>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</si>
  <si>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</si>
  <si>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</si>
  <si>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</si>
  <si>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</si>
  <si>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</si>
  <si>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</si>
  <si>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</si>
  <si>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</si>
  <si>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</si>
  <si>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</si>
  <si>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</si>
  <si>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</si>
  <si>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</si>
  <si>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</si>
  <si>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</si>
  <si>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</si>
  <si>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</si>
  <si>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</si>
  <si>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</si>
  <si>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</si>
  <si>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</si>
  <si>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</si>
  <si>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</si>
  <si>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</si>
  <si>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</si>
  <si>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</si>
  <si>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</si>
  <si>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</si>
  <si>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</si>
  <si>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</si>
  <si>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</si>
  <si>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</si>
  <si>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</si>
  <si>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</si>
  <si>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</si>
  <si>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</si>
  <si>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</si>
  <si>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</si>
  <si>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</si>
  <si>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</si>
  <si>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</si>
  <si>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</si>
  <si>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</si>
  <si>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</si>
  <si>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</si>
  <si>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</si>
  <si>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</si>
  <si>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</si>
  <si>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</si>
  <si>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</si>
  <si>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</si>
  <si>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</si>
  <si>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</si>
  <si>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</si>
  <si>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</si>
  <si>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</si>
  <si>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</si>
  <si>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</si>
  <si>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</si>
  <si>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</si>
  <si>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</si>
  <si>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</si>
  <si>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</si>
  <si>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</si>
  <si>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</si>
  <si>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</si>
  <si>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</si>
  <si>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</si>
  <si>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</si>
  <si>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</si>
  <si>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</si>
  <si>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</si>
  <si>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</si>
  <si>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</si>
  <si>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</si>
  <si>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</si>
  <si>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</si>
  <si>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</si>
  <si>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</si>
  <si>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</si>
  <si>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</si>
  <si>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</si>
  <si>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</si>
  <si>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</si>
  <si>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</si>
  <si>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</si>
  <si>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</si>
  <si>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</si>
  <si>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</si>
  <si>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</si>
  <si>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</si>
  <si>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</si>
  <si>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</si>
  <si>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</si>
  <si>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</si>
  <si>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</si>
  <si>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</si>
  <si>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</si>
  <si>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</si>
  <si>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</si>
  <si>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</si>
  <si>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</si>
  <si>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</si>
  <si>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</si>
  <si>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</si>
  <si>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</si>
  <si>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</si>
  <si>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</si>
  <si>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</si>
  <si>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</si>
  <si>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</si>
  <si>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</si>
  <si>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</si>
  <si>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</si>
  <si>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</si>
  <si>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</si>
  <si>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</si>
  <si>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</si>
  <si>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</si>
  <si>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</si>
  <si>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</si>
  <si>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</si>
  <si>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</si>
  <si>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</si>
  <si>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</si>
  <si>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</si>
  <si>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</si>
  <si>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</si>
  <si>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</si>
  <si>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</si>
  <si>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</si>
  <si>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</si>
  <si>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</si>
  <si>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</si>
  <si>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</si>
  <si>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</si>
  <si>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</si>
  <si>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</si>
  <si>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</si>
  <si>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</si>
  <si>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</si>
  <si>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</si>
  <si>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</si>
  <si>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</si>
  <si>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</si>
  <si>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</si>
  <si>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</si>
  <si>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</si>
  <si>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</si>
  <si>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</si>
  <si>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</si>
  <si>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</si>
  <si>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</si>
  <si>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</si>
  <si>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</si>
  <si>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</si>
  <si>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</si>
  <si>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</si>
  <si>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</si>
  <si>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</si>
  <si>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</si>
  <si>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</si>
  <si>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</si>
  <si>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</si>
  <si>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</si>
  <si>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</si>
  <si>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</si>
  <si>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</si>
  <si>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</si>
  <si>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</si>
  <si>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</si>
  <si>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</si>
  <si>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</si>
  <si>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</si>
  <si>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</si>
  <si>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</si>
  <si>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</si>
  <si>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</si>
  <si>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</si>
  <si>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</si>
  <si>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</si>
  <si>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</si>
  <si>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</si>
  <si>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</si>
  <si>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</si>
  <si>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</si>
  <si>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</si>
  <si>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</si>
  <si>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</si>
  <si>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</si>
  <si>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</si>
  <si>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</si>
  <si>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</si>
  <si>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</si>
  <si>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</si>
  <si>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</si>
  <si>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</si>
  <si>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</si>
  <si>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</si>
  <si>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</si>
  <si>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</si>
  <si>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</si>
  <si>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</si>
  <si>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</si>
  <si>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</si>
  <si>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</si>
  <si>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</si>
  <si>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</si>
  <si>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</si>
  <si>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</si>
  <si>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</si>
  <si>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</si>
  <si>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</si>
  <si>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</si>
  <si>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</si>
  <si>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</si>
  <si>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</si>
  <si>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</si>
  <si>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</si>
  <si>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</si>
  <si>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</si>
  <si>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</si>
  <si>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</si>
  <si>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</si>
  <si>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</si>
  <si>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</si>
  <si>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</si>
  <si>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</si>
  <si>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</si>
  <si>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</si>
  <si>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</si>
  <si>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</si>
  <si>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</si>
  <si>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</si>
  <si>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</si>
  <si>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</si>
  <si>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</si>
  <si>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</si>
  <si>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</si>
  <si>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</si>
  <si>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</si>
  <si>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</si>
  <si>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</si>
  <si>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</si>
  <si>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</si>
  <si>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</si>
  <si>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</si>
  <si>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</si>
  <si>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</si>
  <si>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</si>
  <si>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</si>
  <si>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</si>
  <si>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</si>
  <si>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</si>
  <si>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</si>
  <si>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</si>
  <si>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</si>
  <si>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</si>
  <si>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</si>
  <si>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</si>
  <si>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</si>
  <si>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</si>
  <si>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</si>
  <si>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</si>
  <si>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</si>
  <si>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</si>
  <si>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</si>
  <si>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</si>
  <si>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</si>
  <si>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</si>
  <si>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</si>
  <si>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</si>
  <si>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</si>
  <si>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</si>
  <si>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</si>
  <si>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</si>
  <si>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</si>
  <si>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</si>
  <si>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</si>
  <si>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</si>
  <si>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</si>
  <si>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</si>
  <si>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</si>
  <si>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</si>
  <si>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</si>
  <si>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</si>
  <si>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</si>
  <si>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</si>
  <si>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</si>
  <si>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</si>
  <si>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</si>
  <si>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</si>
  <si>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</si>
  <si>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</si>
  <si>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</si>
  <si>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</si>
  <si>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</si>
  <si>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</si>
  <si>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</si>
  <si>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</si>
  <si>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</si>
  <si>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</si>
  <si>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</si>
  <si>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</si>
  <si>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</si>
  <si>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</si>
  <si>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</si>
  <si>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</si>
  <si>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</si>
  <si>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</si>
  <si>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</si>
  <si>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</si>
  <si>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</si>
  <si>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</si>
  <si>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</si>
  <si>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</si>
  <si>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</si>
  <si>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</si>
  <si>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</si>
  <si>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</si>
  <si>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</si>
  <si>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</si>
  <si>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</si>
  <si>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</si>
  <si>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</si>
  <si>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</si>
  <si>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</si>
  <si>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</si>
  <si>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</si>
  <si>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</si>
  <si>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</si>
  <si>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</si>
  <si>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</si>
  <si>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</si>
  <si>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</si>
  <si>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</si>
  <si>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</si>
  <si>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</si>
  <si>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</si>
  <si>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</si>
  <si>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</si>
  <si>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</si>
  <si>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</si>
  <si>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</si>
  <si>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</si>
  <si>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</si>
  <si>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</si>
  <si>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</si>
  <si>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</si>
  <si>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</si>
  <si>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</si>
  <si>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</si>
  <si>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</si>
  <si>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</si>
  <si>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</si>
  <si>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</si>
  <si>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</si>
  <si>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</si>
  <si>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</si>
  <si>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</si>
  <si>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</si>
  <si>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</si>
  <si>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</si>
  <si>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</si>
  <si>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</si>
  <si>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</si>
  <si>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</si>
  <si>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</si>
  <si>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</si>
  <si>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</si>
  <si>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</si>
  <si>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</si>
  <si>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</si>
  <si>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</si>
  <si>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</si>
  <si>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</si>
  <si>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</si>
  <si>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</si>
  <si>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</si>
  <si>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</si>
  <si>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</si>
  <si>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</si>
  <si>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</si>
  <si>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</si>
  <si>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</si>
  <si>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</si>
  <si>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</si>
  <si>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</si>
  <si>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</si>
  <si>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</si>
  <si>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</si>
  <si>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</si>
  <si>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</si>
  <si>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</si>
  <si>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</si>
  <si>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</si>
  <si>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</si>
  <si>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</si>
  <si>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</si>
  <si>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</si>
  <si>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</si>
  <si>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</si>
  <si>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</si>
  <si>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</si>
  <si>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</si>
  <si>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</si>
  <si>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</si>
  <si>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</si>
  <si>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</si>
  <si>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</si>
  <si>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</si>
  <si>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</si>
  <si>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</si>
  <si>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</si>
  <si>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</si>
  <si>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</si>
  <si>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</si>
  <si>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</si>
  <si>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</si>
  <si>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</si>
  <si>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</si>
  <si>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</si>
  <si>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</si>
  <si>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</si>
  <si>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</si>
  <si>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</si>
  <si>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</si>
  <si>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</si>
  <si>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</si>
  <si>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</si>
  <si>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</si>
  <si>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</si>
  <si>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</si>
  <si>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</si>
  <si>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</si>
  <si>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</si>
  <si>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</si>
  <si>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</si>
  <si>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</si>
  <si>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</si>
  <si>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</si>
  <si>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</si>
  <si>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</si>
  <si>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</si>
  <si>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</si>
  <si>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</si>
  <si>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</si>
  <si>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</si>
  <si>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</si>
  <si>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</si>
  <si>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</si>
  <si>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</si>
  <si>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</si>
  <si>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</si>
  <si>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</si>
  <si>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</si>
  <si>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</si>
  <si>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</si>
  <si>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</si>
  <si>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</si>
  <si>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</si>
  <si>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</si>
  <si>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</si>
  <si>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</si>
  <si>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</si>
  <si>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</si>
  <si>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</si>
  <si>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</si>
  <si>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</si>
  <si>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</si>
  <si>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</si>
  <si>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</si>
  <si>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</si>
  <si>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</si>
  <si>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</si>
  <si>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</si>
  <si>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</si>
  <si>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</si>
  <si>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</si>
  <si>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</si>
  <si>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</si>
  <si>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</si>
  <si>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</si>
  <si>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</si>
  <si>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</si>
  <si>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</si>
  <si>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</si>
  <si>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</si>
  <si>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</si>
  <si>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</si>
  <si>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</si>
  <si>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</si>
  <si>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</si>
  <si>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</si>
  <si>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</si>
  <si>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</si>
  <si>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</si>
  <si>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</si>
  <si>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</si>
  <si>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</si>
  <si>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</si>
  <si>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</si>
  <si>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</si>
  <si>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</si>
  <si>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</si>
  <si>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</si>
  <si>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</si>
  <si>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</si>
  <si>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</si>
  <si>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</si>
  <si>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</si>
  <si>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</si>
  <si>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</si>
  <si>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</si>
  <si>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</si>
  <si>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</si>
  <si>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</si>
  <si>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</si>
  <si>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</si>
  <si>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</si>
  <si>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</si>
  <si>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</si>
  <si>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</si>
  <si>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</si>
  <si>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</si>
  <si>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</si>
  <si>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</si>
  <si>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</si>
  <si>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</si>
  <si>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</si>
  <si>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</si>
  <si>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</si>
  <si>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</si>
  <si>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</si>
  <si>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</si>
  <si>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</si>
  <si>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</si>
  <si>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</si>
  <si>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</si>
  <si>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</si>
  <si>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</si>
  <si>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</si>
  <si>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</si>
  <si>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</si>
  <si>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</si>
  <si>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</si>
  <si>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</si>
  <si>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</si>
  <si>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</si>
  <si>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</si>
  <si>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</si>
  <si>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</si>
  <si>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</si>
  <si>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</si>
  <si>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</si>
  <si>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</si>
  <si>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</si>
  <si>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</si>
  <si>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</si>
  <si>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</si>
  <si>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</si>
  <si>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</si>
  <si>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</si>
  <si>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</si>
  <si>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</si>
  <si>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</si>
  <si>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</si>
  <si>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</si>
  <si>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</si>
  <si>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</si>
  <si>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</si>
  <si>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</si>
  <si>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</si>
  <si>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</si>
  <si>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</si>
  <si>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</si>
  <si>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</si>
  <si>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</si>
  <si>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</si>
  <si>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</si>
  <si>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</si>
  <si>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</si>
  <si>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</si>
  <si>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</si>
  <si>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</si>
  <si>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</si>
  <si>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</si>
  <si>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</si>
  <si>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</si>
  <si>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</si>
  <si>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</si>
  <si>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</si>
  <si>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</si>
  <si>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</si>
  <si>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</si>
  <si>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</si>
  <si>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</si>
  <si>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</si>
  <si>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</si>
  <si>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</si>
  <si>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</si>
  <si>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</si>
  <si>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</si>
  <si>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</si>
  <si>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</si>
  <si>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</si>
  <si>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</si>
  <si>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</si>
  <si>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</si>
  <si>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</si>
  <si>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</si>
  <si>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</si>
  <si>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</si>
  <si>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</si>
  <si>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</si>
  <si>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</si>
  <si>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</si>
  <si>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</si>
  <si>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</si>
  <si>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</si>
  <si>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</si>
  <si>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</si>
  <si>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</si>
  <si>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</si>
  <si>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</si>
  <si>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</si>
  <si>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</si>
  <si>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</si>
  <si>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</si>
  <si>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</si>
  <si>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</si>
  <si>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</si>
  <si>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</si>
  <si>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</si>
  <si>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</si>
  <si>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</si>
  <si>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</si>
  <si>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</si>
  <si>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</si>
  <si>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</si>
  <si>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</si>
  <si>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</si>
  <si>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</si>
  <si>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</si>
  <si>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</si>
  <si>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</si>
  <si>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</si>
  <si>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</si>
  <si>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</si>
  <si>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</si>
  <si>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</si>
  <si>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</si>
  <si>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</si>
  <si>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</si>
  <si>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</si>
  <si>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</si>
  <si>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</si>
  <si>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</si>
  <si>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</si>
  <si>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</si>
  <si>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</si>
  <si>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</si>
  <si>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</si>
  <si>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</si>
  <si>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</si>
  <si>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</si>
  <si>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</si>
  <si>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</si>
  <si>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</si>
  <si>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</si>
  <si>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</si>
  <si>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</si>
  <si>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</si>
  <si>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</si>
  <si>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</si>
  <si>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</si>
  <si>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</si>
  <si>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</si>
  <si>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</si>
  <si>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</si>
  <si>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</si>
  <si>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</si>
  <si>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</si>
  <si>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</si>
  <si>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</si>
  <si>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</si>
  <si>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</si>
  <si>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</si>
  <si>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</si>
  <si>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</si>
  <si>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</si>
  <si>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</si>
  <si>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</si>
  <si>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</si>
  <si>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</si>
  <si>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</si>
  <si>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</si>
  <si>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</si>
  <si>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</si>
  <si>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</si>
  <si>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</si>
  <si>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</si>
  <si>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</si>
  <si>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</si>
  <si>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</si>
  <si>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</si>
  <si>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</si>
  <si>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</si>
  <si>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</si>
  <si>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</si>
  <si>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</si>
  <si>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</si>
  <si>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</si>
  <si>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</si>
  <si>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</si>
  <si>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</si>
  <si>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</si>
  <si>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</si>
  <si>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</si>
  <si>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</si>
  <si>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</si>
  <si>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</si>
  <si>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</si>
  <si>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</si>
  <si>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</si>
  <si>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</si>
  <si>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</si>
  <si>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</si>
  <si>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</si>
  <si>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</si>
  <si>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</si>
  <si>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</si>
  <si>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</si>
  <si>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</si>
  <si>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</si>
  <si>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</si>
  <si>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</si>
  <si>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</si>
  <si>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</si>
  <si>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</si>
  <si>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</si>
  <si>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</si>
  <si>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</si>
  <si>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</si>
  <si>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</si>
  <si>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</si>
  <si>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</si>
  <si>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</si>
  <si>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</si>
  <si>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</si>
  <si>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</si>
  <si>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</si>
  <si>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</si>
  <si>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</si>
  <si>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</si>
  <si>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</si>
  <si>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</si>
  <si>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</si>
  <si>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</si>
  <si>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</si>
  <si>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</si>
  <si>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</si>
  <si>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</si>
  <si>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</si>
  <si>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</si>
  <si>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</si>
  <si>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</si>
  <si>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</si>
  <si>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</si>
  <si>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</si>
  <si>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</si>
  <si>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</si>
  <si>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</si>
  <si>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</si>
  <si>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</si>
  <si>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</si>
  <si>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</si>
  <si>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</si>
  <si>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</si>
  <si>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</si>
  <si>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</si>
  <si>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</si>
  <si>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</si>
  <si>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</si>
  <si>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</si>
  <si>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</si>
  <si>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</si>
  <si>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</si>
  <si>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</si>
  <si>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</si>
  <si>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</si>
  <si>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</si>
  <si>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</si>
  <si>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</si>
  <si>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</si>
  <si>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</si>
  <si>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</si>
  <si>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</si>
  <si>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</si>
  <si>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</si>
  <si>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</si>
  <si>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</si>
  <si>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</si>
  <si>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</si>
  <si>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</si>
  <si>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</si>
  <si>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</si>
  <si>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</si>
  <si>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</si>
  <si>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</si>
  <si>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</si>
  <si>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</si>
  <si>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</si>
  <si>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</si>
  <si>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</si>
  <si>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</si>
  <si>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</si>
  <si>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</si>
  <si>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</si>
  <si>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</si>
  <si>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</si>
  <si>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</si>
  <si>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</si>
  <si>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</si>
  <si>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</si>
  <si>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</si>
  <si>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</si>
  <si>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</si>
  <si>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</si>
  <si>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</si>
  <si>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</si>
  <si>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</si>
  <si>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</si>
  <si>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</si>
  <si>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</si>
  <si>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</si>
  <si>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</si>
  <si>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</si>
  <si>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</si>
  <si>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</si>
  <si>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</si>
  <si>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</si>
  <si>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</si>
  <si>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</si>
  <si>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</si>
  <si>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</si>
  <si>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</si>
  <si>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</si>
  <si>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</si>
  <si>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</si>
  <si>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</si>
  <si>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</si>
  <si>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</si>
  <si>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</si>
  <si>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</si>
  <si>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</si>
  <si>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</si>
  <si>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</si>
  <si>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</si>
  <si>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</si>
  <si>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</si>
  <si>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</si>
  <si>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</si>
  <si>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</si>
  <si>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</si>
  <si>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</si>
  <si>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</si>
  <si>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</si>
  <si>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</si>
  <si>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</si>
  <si>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</si>
  <si>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</si>
  <si>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</si>
  <si>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</si>
  <si>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</si>
  <si>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</si>
  <si>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</si>
  <si>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</si>
  <si>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</si>
  <si>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</si>
  <si>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</si>
  <si>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</si>
  <si>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</si>
  <si>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</si>
  <si>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</si>
  <si>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</si>
  <si>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</si>
  <si>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</si>
  <si>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</si>
  <si>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</si>
  <si>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</si>
  <si>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</si>
  <si>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</si>
  <si>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</si>
  <si>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</si>
  <si>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</si>
  <si>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</si>
  <si>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</si>
  <si>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</si>
  <si>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</si>
  <si>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</si>
  <si>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</si>
  <si>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</si>
  <si>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</si>
  <si>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</si>
  <si>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</si>
  <si>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</si>
  <si>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</si>
  <si>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</si>
  <si>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</si>
  <si>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</si>
  <si>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</si>
  <si>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</si>
  <si>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</si>
  <si>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</si>
  <si>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</si>
  <si>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</si>
  <si>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</si>
  <si>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</si>
  <si>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</si>
  <si>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</si>
  <si>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</si>
  <si>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</si>
  <si>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</si>
  <si>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</si>
  <si>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</si>
  <si>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</si>
  <si>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</si>
  <si>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</si>
  <si>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</si>
  <si>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</si>
  <si>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</si>
  <si>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</si>
  <si>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</si>
  <si>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</si>
  <si>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</si>
  <si>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</si>
  <si>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</si>
  <si>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</si>
  <si>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</si>
  <si>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</si>
  <si>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</si>
  <si>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</si>
  <si>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</si>
  <si>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</si>
  <si>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</si>
  <si>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</si>
  <si>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</si>
  <si>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</si>
  <si>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</si>
  <si>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</si>
  <si>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</si>
  <si>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</si>
  <si>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</si>
  <si>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</si>
  <si>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</si>
  <si>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</si>
  <si>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</si>
  <si>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</si>
  <si>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</si>
  <si>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</si>
  <si>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</si>
  <si>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</si>
  <si>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</si>
  <si>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</si>
  <si>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</si>
  <si>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</si>
  <si>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</si>
  <si>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</si>
  <si>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</si>
  <si>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</si>
  <si>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</si>
  <si>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</si>
  <si>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</si>
  <si>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</si>
  <si>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</si>
  <si>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</si>
  <si>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</si>
  <si>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</si>
  <si>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</si>
  <si>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</si>
  <si>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</si>
  <si>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</si>
  <si>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</si>
  <si>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</si>
  <si>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</si>
  <si>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</si>
  <si>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</si>
  <si>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</si>
  <si>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</si>
  <si>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</si>
  <si>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</si>
  <si>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</si>
  <si>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</si>
  <si>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</si>
  <si>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</si>
  <si>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</si>
  <si>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</si>
  <si>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</si>
  <si>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</si>
  <si>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</si>
  <si>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</si>
  <si>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</si>
  <si>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</si>
  <si>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</si>
  <si>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</si>
  <si>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</si>
  <si>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</si>
  <si>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</si>
  <si>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</si>
  <si>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</si>
  <si>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</si>
  <si>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</si>
  <si>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</si>
  <si>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</si>
  <si>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</si>
  <si>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</si>
  <si>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</si>
  <si>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</si>
  <si>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</si>
  <si>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</si>
  <si>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</si>
  <si>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</si>
  <si>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</si>
  <si>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</si>
  <si>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</si>
  <si>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</si>
  <si>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</si>
  <si>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</si>
  <si>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</si>
  <si>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</si>
  <si>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</si>
  <si>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</si>
  <si>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</si>
  <si>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</si>
  <si>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</si>
  <si>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</si>
  <si>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</si>
  <si>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</si>
  <si>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</si>
  <si>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</si>
  <si>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</si>
  <si>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</si>
  <si>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</si>
  <si>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</si>
  <si>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</si>
  <si>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</si>
  <si>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</si>
  <si>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</si>
  <si>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</si>
  <si>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</si>
  <si>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</si>
  <si>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</si>
  <si>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</si>
  <si>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</si>
  <si>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</si>
  <si>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</si>
  <si>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</si>
  <si>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</si>
  <si>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</si>
  <si>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</si>
  <si>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</si>
  <si>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</si>
  <si>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</si>
  <si>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</si>
  <si>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</si>
  <si>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</si>
  <si>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</si>
  <si>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</si>
  <si>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</si>
  <si>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</si>
  <si>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</si>
  <si>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</si>
  <si>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</si>
  <si>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</si>
  <si>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</si>
  <si>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</si>
  <si>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</si>
  <si>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</si>
  <si>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</si>
  <si>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</si>
  <si>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</si>
  <si>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</si>
  <si>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</si>
  <si>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</si>
  <si>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</si>
  <si>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</si>
  <si>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</si>
  <si>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</si>
  <si>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</si>
  <si>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</si>
  <si>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</si>
  <si>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</si>
  <si>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</si>
  <si>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</si>
  <si>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</si>
  <si>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</si>
  <si>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</si>
  <si>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</si>
  <si>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</si>
  <si>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</si>
  <si>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</si>
  <si>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</si>
  <si>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</si>
  <si>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</si>
  <si>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</si>
  <si>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</si>
  <si>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</si>
  <si>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</si>
  <si>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</si>
  <si>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</si>
  <si>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</si>
  <si>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</si>
  <si>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</si>
  <si>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</si>
  <si>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</si>
  <si>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</si>
  <si>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</si>
  <si>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</si>
  <si>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</si>
  <si>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</si>
  <si>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</si>
  <si>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</si>
  <si>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</si>
  <si>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</si>
  <si>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</si>
  <si>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</si>
  <si>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</si>
  <si>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</si>
  <si>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</si>
  <si>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</si>
  <si>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</si>
  <si>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</si>
  <si>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</si>
  <si>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</si>
  <si>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</si>
  <si>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</si>
  <si>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</si>
  <si>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</si>
  <si>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</si>
  <si>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</si>
  <si>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</si>
  <si>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</si>
  <si>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</si>
  <si>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</si>
  <si>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</si>
  <si>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</si>
  <si>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</si>
  <si>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</si>
  <si>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</si>
  <si>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</si>
  <si>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</si>
  <si>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</si>
  <si>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</si>
  <si>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</si>
  <si>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</si>
  <si>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</si>
  <si>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</si>
  <si>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</si>
  <si>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</si>
  <si>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</si>
  <si>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</si>
  <si>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</si>
  <si>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</si>
  <si>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</si>
  <si>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</si>
  <si>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</si>
  <si>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</si>
  <si>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</si>
  <si>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</si>
  <si>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</si>
  <si>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</si>
  <si>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</si>
  <si>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</si>
  <si>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</si>
  <si>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</si>
  <si>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</si>
  <si>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</si>
  <si>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</si>
  <si>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</si>
  <si>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</si>
  <si>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</si>
  <si>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</si>
  <si>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</si>
  <si>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</si>
  <si>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</si>
  <si>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</si>
  <si>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</si>
  <si>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</si>
  <si>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</si>
  <si>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</si>
  <si>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</si>
  <si>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</si>
  <si>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</si>
  <si>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</si>
  <si>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</si>
  <si>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</si>
  <si>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</si>
  <si>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</si>
  <si>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</si>
  <si>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</si>
  <si>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</si>
  <si>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</si>
  <si>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</si>
  <si>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</si>
  <si>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</si>
  <si>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</si>
  <si>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</si>
  <si>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</si>
  <si>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</si>
  <si>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</si>
  <si>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</si>
  <si>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</si>
  <si>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</si>
  <si>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</si>
  <si>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</si>
  <si>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</si>
  <si>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</si>
  <si>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</si>
  <si>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</si>
  <si>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</si>
  <si>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</si>
  <si>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</si>
  <si>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</si>
  <si>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</si>
  <si>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</si>
  <si>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</si>
  <si>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</si>
  <si>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</si>
  <si>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</si>
  <si>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</si>
  <si>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</si>
  <si>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</si>
  <si>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</si>
  <si>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</si>
  <si>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</si>
  <si>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</si>
  <si>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</si>
  <si>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</si>
  <si>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</si>
  <si>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</si>
  <si>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</si>
  <si>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</si>
  <si>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</si>
  <si>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</si>
  <si>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</si>
  <si>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</si>
  <si>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</si>
  <si>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</si>
  <si>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</si>
  <si>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</si>
  <si>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</si>
  <si>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</si>
  <si>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</si>
  <si>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</si>
  <si>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</si>
  <si>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</si>
  <si>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</si>
  <si>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</si>
  <si>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</si>
  <si>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</si>
  <si>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</si>
  <si>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</si>
  <si>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</si>
  <si>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</si>
  <si>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</si>
  <si>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</si>
  <si>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</si>
  <si>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</si>
  <si>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</si>
  <si>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</si>
  <si>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</si>
  <si>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</si>
  <si>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</si>
  <si>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</si>
  <si>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</si>
  <si>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</si>
  <si>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</si>
  <si>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</si>
  <si>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</si>
  <si>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</si>
  <si>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</si>
  <si>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</si>
  <si>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</si>
  <si>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</si>
  <si>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</si>
  <si>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</si>
  <si>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</si>
  <si>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</si>
  <si>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</si>
  <si>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</si>
  <si>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</si>
  <si>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</si>
  <si>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</si>
  <si>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</si>
  <si>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</si>
  <si>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</si>
  <si>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</si>
  <si>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</si>
  <si>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</si>
  <si>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</si>
  <si>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</si>
  <si>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</si>
  <si>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</si>
  <si>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</si>
  <si>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</si>
  <si>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</si>
  <si>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</si>
  <si>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</si>
  <si>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</si>
  <si>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</si>
  <si>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</si>
  <si>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</si>
  <si>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</si>
  <si>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</si>
  <si>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</si>
  <si>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</si>
  <si>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</si>
  <si>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</si>
  <si>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</si>
  <si>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</si>
  <si>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</si>
  <si>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</si>
  <si>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</si>
  <si>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</si>
  <si>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</si>
  <si>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</si>
  <si>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</si>
  <si>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</si>
  <si>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</si>
  <si>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</si>
  <si>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</si>
  <si>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</si>
  <si>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</si>
  <si>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</si>
  <si>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</si>
  <si>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</si>
  <si>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</si>
  <si>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</si>
  <si>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</si>
  <si>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</si>
  <si>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</si>
  <si>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</si>
  <si>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</si>
  <si>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</si>
  <si>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</si>
  <si>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</si>
  <si>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</si>
  <si>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</si>
  <si>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</si>
  <si>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</si>
  <si>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</si>
  <si>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</si>
  <si>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</si>
  <si>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</si>
  <si>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</si>
  <si>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</si>
  <si>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</si>
  <si>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</si>
  <si>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</si>
  <si>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</si>
  <si>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</si>
  <si>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</si>
  <si>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</si>
  <si>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</si>
  <si>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</si>
  <si>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</si>
  <si>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</si>
  <si>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</si>
  <si>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</si>
  <si>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</si>
  <si>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</si>
  <si>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</si>
  <si>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</si>
  <si>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</si>
  <si>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</si>
  <si>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</si>
  <si>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</si>
  <si>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</si>
  <si>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</si>
  <si>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</si>
  <si>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</si>
  <si>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</si>
  <si>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</si>
  <si>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</si>
  <si>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</si>
  <si>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</si>
  <si>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</si>
  <si>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</si>
  <si>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</si>
  <si>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</si>
  <si>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</si>
  <si>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</si>
  <si>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</si>
  <si>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</si>
  <si>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</si>
  <si>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</si>
  <si>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</si>
  <si>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</si>
  <si>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</si>
  <si>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</si>
  <si>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</si>
  <si>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</si>
  <si>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</si>
  <si>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</si>
  <si>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</si>
  <si>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</si>
  <si>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</si>
  <si>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</si>
  <si>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</si>
  <si>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</si>
  <si>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</si>
  <si>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</si>
  <si>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</si>
  <si>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</si>
  <si>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</si>
  <si>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</si>
  <si>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</si>
  <si>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</si>
  <si>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</si>
  <si>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</si>
  <si>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</si>
  <si>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</si>
  <si>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</si>
  <si>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</si>
  <si>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</si>
  <si>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</si>
  <si>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</si>
  <si>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</si>
  <si>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</si>
  <si>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</si>
  <si>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</si>
  <si>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</si>
  <si>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</si>
  <si>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</si>
  <si>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</si>
  <si>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</si>
  <si>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</si>
  <si>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</si>
  <si>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</si>
  <si>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</si>
  <si>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</si>
  <si>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</si>
  <si>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</si>
  <si>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</si>
  <si>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</si>
  <si>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</si>
  <si>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</si>
  <si>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</si>
  <si>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</si>
  <si>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</si>
  <si>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</si>
  <si>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</si>
  <si>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</si>
  <si>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</si>
  <si>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</si>
  <si>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</si>
  <si>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</si>
  <si>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</si>
  <si>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</si>
  <si>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</si>
  <si>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</si>
  <si>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</si>
  <si>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</si>
  <si>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</si>
  <si>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</si>
  <si>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</si>
  <si>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</si>
  <si>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</si>
  <si>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</si>
  <si>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</si>
  <si>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</si>
  <si>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</si>
  <si>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</si>
  <si>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</si>
  <si>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</si>
  <si>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</si>
  <si>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</si>
  <si>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</si>
  <si>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</si>
  <si>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</si>
  <si>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</si>
  <si>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</si>
  <si>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</si>
  <si>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</si>
  <si>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</si>
  <si>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</si>
  <si>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</si>
  <si>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</si>
  <si>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</si>
  <si>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</si>
  <si>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</si>
  <si>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</si>
  <si>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</si>
  <si>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</si>
  <si>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</si>
  <si>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</si>
  <si>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</si>
  <si>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</si>
  <si>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</si>
  <si>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</si>
  <si>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</si>
  <si>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</si>
  <si>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</si>
  <si>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</si>
  <si>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</si>
  <si>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</si>
  <si>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</si>
  <si>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</si>
  <si>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</si>
  <si>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</si>
  <si>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</si>
  <si>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</si>
  <si>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</si>
  <si>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</si>
  <si>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</si>
  <si>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</si>
  <si>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</si>
  <si>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</si>
  <si>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</si>
  <si>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</si>
  <si>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</si>
  <si>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</si>
  <si>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</si>
  <si>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</si>
  <si>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</si>
  <si>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</si>
  <si>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</si>
  <si>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</si>
  <si>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</si>
  <si>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</si>
  <si>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</si>
  <si>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</si>
  <si>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</si>
  <si>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</si>
  <si>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</si>
  <si>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</si>
  <si>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</si>
  <si>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</si>
  <si>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</si>
  <si>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</si>
  <si>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</si>
  <si>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</si>
  <si>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</si>
  <si>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</si>
  <si>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</si>
  <si>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</si>
  <si>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</si>
  <si>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</si>
  <si>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</si>
  <si>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</si>
  <si>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</si>
  <si>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</si>
  <si>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</si>
  <si>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</si>
  <si>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</si>
  <si>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</si>
  <si>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</si>
  <si>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</si>
  <si>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</si>
  <si>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</si>
  <si>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</si>
  <si>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</si>
  <si>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</si>
  <si>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</si>
  <si>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</si>
  <si>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</si>
  <si>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</si>
  <si>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</si>
  <si>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</si>
  <si>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</si>
  <si>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</si>
  <si>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</si>
  <si>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</si>
  <si>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</si>
  <si>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</si>
  <si>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</si>
  <si>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</si>
  <si>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</si>
  <si>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</si>
  <si>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</si>
  <si>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</si>
  <si>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</si>
  <si>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</si>
  <si>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</si>
  <si>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</si>
  <si>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</si>
  <si>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</si>
  <si>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</si>
  <si>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</si>
  <si>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</si>
  <si>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</si>
  <si>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</si>
  <si>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</si>
  <si>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</si>
  <si>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</si>
  <si>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</si>
  <si>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</si>
  <si>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</si>
  <si>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</si>
  <si>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</si>
  <si>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</si>
  <si>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</si>
  <si>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</si>
  <si>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</si>
  <si>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</si>
  <si>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</si>
  <si>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</si>
  <si>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</si>
  <si>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</si>
  <si>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</si>
  <si>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</si>
  <si>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</si>
  <si>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</si>
  <si>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</si>
  <si>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</si>
  <si>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</si>
  <si>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</si>
  <si>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</si>
  <si>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</si>
  <si>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</si>
  <si>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</si>
  <si>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</si>
  <si>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</si>
  <si>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</si>
  <si>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</si>
  <si>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</si>
  <si>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</si>
  <si>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</si>
  <si>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</si>
  <si>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</si>
  <si>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</si>
  <si>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</si>
  <si>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</si>
  <si>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</si>
  <si>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</si>
  <si>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</si>
  <si>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</si>
  <si>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</si>
  <si>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</si>
  <si>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</si>
  <si>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</si>
  <si>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</si>
  <si>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</si>
  <si>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</si>
  <si>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</si>
  <si>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</si>
  <si>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</si>
  <si>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</si>
  <si>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</si>
  <si>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</si>
  <si>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</si>
  <si>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</si>
  <si>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</si>
  <si>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</si>
  <si>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</si>
  <si>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</si>
  <si>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</si>
  <si>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</si>
  <si>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</si>
  <si>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</si>
  <si>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</si>
  <si>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</si>
  <si>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</si>
  <si>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</si>
  <si>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</si>
  <si>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</si>
  <si>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</si>
  <si>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</si>
  <si>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</si>
  <si>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</si>
  <si>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</si>
  <si>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</si>
  <si>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</si>
  <si>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</si>
  <si>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</si>
  <si>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</si>
  <si>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</si>
  <si>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</si>
  <si>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</si>
  <si>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</si>
  <si>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</si>
  <si>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</si>
  <si>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</si>
  <si>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</si>
  <si>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</si>
  <si>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</si>
  <si>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</si>
  <si>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</si>
  <si>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</si>
  <si>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</si>
  <si>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</si>
  <si>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</si>
  <si>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</si>
  <si>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</si>
  <si>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</si>
  <si>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</si>
  <si>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</si>
  <si>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</si>
  <si>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</si>
  <si>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</si>
  <si>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</si>
  <si>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</si>
  <si>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</si>
  <si>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</si>
  <si>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</si>
  <si>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</si>
  <si>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</si>
  <si>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</si>
  <si>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</si>
  <si>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</si>
  <si>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</si>
  <si>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</si>
  <si>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</si>
  <si>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</si>
  <si>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</si>
  <si>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</si>
  <si>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</si>
  <si>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</si>
  <si>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</si>
  <si>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</si>
  <si>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</si>
  <si>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</si>
  <si>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</si>
  <si>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</si>
  <si>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</si>
  <si>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</si>
  <si>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</si>
  <si>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</si>
  <si>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</si>
  <si>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</si>
  <si>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</si>
  <si>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</si>
  <si>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</si>
  <si>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</si>
  <si>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</si>
  <si>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</si>
  <si>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</si>
  <si>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</si>
  <si>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</si>
  <si>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</si>
  <si>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</si>
  <si>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</si>
  <si>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</si>
  <si>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</si>
  <si>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</si>
  <si>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</si>
  <si>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</si>
  <si>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</si>
  <si>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</si>
  <si>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</si>
  <si>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</si>
  <si>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</si>
  <si>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</si>
  <si>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</si>
  <si>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</si>
  <si>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</si>
  <si>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</si>
  <si>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</si>
  <si>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</si>
  <si>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</si>
  <si>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</si>
  <si>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</si>
  <si>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</si>
  <si>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</si>
  <si>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</si>
  <si>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</si>
  <si>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</si>
  <si>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</si>
  <si>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</si>
  <si>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</si>
  <si>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</si>
  <si>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</si>
  <si>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</si>
  <si>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</si>
  <si>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</si>
  <si>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</si>
  <si>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</si>
  <si>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</si>
  <si>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</si>
  <si>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</si>
  <si>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</si>
  <si>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</si>
  <si>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</si>
  <si>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</si>
  <si>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</si>
  <si>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</si>
  <si>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</si>
  <si>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</si>
  <si>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</si>
  <si>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</si>
  <si>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</si>
  <si>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</si>
  <si>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</si>
  <si>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</si>
  <si>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</si>
  <si>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</si>
  <si>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</si>
  <si>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</si>
  <si>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</si>
  <si>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</si>
  <si>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</si>
  <si>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</si>
  <si>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</si>
  <si>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</si>
  <si>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</si>
  <si>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</si>
  <si>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</si>
  <si>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</si>
  <si>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</si>
  <si>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</si>
  <si>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</si>
  <si>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</si>
  <si>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</si>
  <si>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</si>
  <si>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</si>
  <si>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</si>
  <si>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</si>
  <si>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</si>
  <si>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</si>
  <si>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</si>
  <si>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</si>
  <si>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</si>
  <si>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</si>
  <si>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</si>
  <si>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</si>
  <si>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</si>
  <si>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</si>
  <si>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</si>
  <si>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</si>
  <si>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</si>
  <si>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</si>
  <si>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</si>
  <si>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</si>
  <si>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</si>
  <si>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</si>
  <si>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</si>
  <si>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</si>
  <si>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</si>
  <si>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</si>
  <si>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</si>
  <si>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</si>
  <si>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</si>
  <si>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</si>
  <si>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</si>
  <si>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</si>
  <si>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</si>
  <si>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</si>
  <si>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</si>
  <si>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</si>
  <si>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</si>
  <si>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</si>
  <si>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</si>
  <si>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</si>
  <si>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</si>
  <si>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</si>
  <si>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</si>
  <si>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</si>
  <si>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</si>
  <si>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</si>
  <si>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</si>
  <si>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</si>
  <si>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</si>
  <si>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</si>
  <si>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</si>
  <si>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</si>
  <si>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</si>
  <si>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</si>
  <si>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</si>
  <si>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</si>
  <si>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</si>
  <si>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</si>
  <si>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</si>
  <si>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</si>
  <si>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</si>
  <si>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</si>
  <si>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</si>
  <si>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</si>
  <si>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</si>
  <si>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</si>
  <si>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</si>
  <si>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</si>
  <si>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</si>
  <si>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</si>
  <si>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</si>
  <si>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</si>
  <si>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</si>
  <si>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</si>
  <si>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</si>
  <si>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</si>
  <si>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</si>
  <si>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</si>
  <si>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</si>
  <si>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</si>
  <si>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</si>
  <si>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</si>
  <si>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</si>
  <si>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</si>
  <si>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</si>
  <si>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</si>
  <si>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</si>
  <si>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</si>
  <si>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</si>
  <si>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</si>
  <si>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</si>
  <si>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</si>
  <si>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</si>
  <si>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</si>
  <si>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</si>
  <si>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</si>
  <si>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</si>
  <si>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</si>
  <si>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</si>
  <si>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</si>
  <si>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</si>
  <si>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</si>
  <si>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</si>
  <si>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</si>
  <si>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</si>
  <si>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</si>
  <si>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</si>
  <si>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</si>
  <si>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</si>
  <si>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</si>
  <si>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</si>
  <si>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</si>
  <si>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</si>
  <si>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</si>
  <si>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</si>
  <si>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</si>
  <si>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</si>
  <si>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</si>
  <si>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</si>
  <si>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</si>
  <si>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</si>
  <si>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</si>
  <si>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</si>
  <si>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</si>
  <si>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</si>
  <si>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</si>
  <si>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</si>
  <si>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</si>
  <si>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</si>
  <si>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</si>
  <si>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</si>
  <si>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</si>
  <si>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</si>
  <si>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</si>
  <si>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</si>
  <si>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</si>
  <si>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</si>
  <si>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</si>
  <si>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</si>
  <si>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</si>
  <si>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</si>
  <si>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</si>
  <si>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</si>
  <si>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</si>
  <si>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</si>
  <si>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</si>
  <si>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</si>
  <si>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</si>
  <si>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</si>
  <si>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</si>
  <si>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</si>
  <si>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</si>
  <si>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</si>
  <si>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</si>
  <si>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</si>
  <si>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</si>
  <si>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</si>
  <si>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</si>
  <si>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</si>
  <si>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</si>
  <si>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</si>
  <si>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</si>
  <si>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</si>
  <si>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</si>
  <si>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</si>
  <si>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</si>
  <si>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</si>
  <si>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</si>
  <si>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</si>
  <si>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</si>
  <si>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</si>
  <si>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</si>
  <si>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</si>
  <si>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</si>
  <si>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</si>
  <si>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</si>
  <si>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</si>
  <si>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</si>
  <si>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</si>
  <si>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</si>
  <si>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</si>
  <si>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</si>
  <si>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</si>
  <si>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</si>
  <si>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</si>
  <si>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</si>
  <si>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</si>
  <si>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</si>
  <si>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</si>
  <si>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</si>
  <si>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</si>
  <si>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</si>
  <si>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</si>
  <si>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</si>
  <si>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</si>
  <si>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</si>
  <si>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</si>
  <si>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</si>
  <si>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</si>
  <si>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</si>
  <si>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</si>
  <si>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</si>
  <si>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</si>
  <si>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</si>
  <si>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</si>
  <si>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</si>
  <si>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</si>
  <si>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</si>
  <si>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</si>
  <si>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</si>
  <si>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</si>
  <si>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</si>
  <si>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</si>
  <si>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</si>
  <si>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</si>
  <si>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</si>
  <si>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</si>
  <si>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</si>
  <si>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</si>
  <si>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</si>
  <si>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</si>
  <si>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</si>
  <si>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</si>
  <si>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</si>
  <si>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</si>
  <si>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</si>
  <si>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</si>
  <si>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</si>
  <si>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</si>
  <si>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</si>
  <si>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</si>
  <si>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</si>
  <si>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</si>
  <si>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</si>
  <si>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</si>
  <si>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</si>
  <si>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</si>
  <si>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</si>
  <si>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</si>
  <si>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</si>
  <si>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</si>
  <si>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</si>
  <si>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</si>
  <si>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</si>
  <si>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</si>
  <si>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</si>
  <si>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</si>
  <si>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</si>
  <si>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</si>
  <si>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</si>
  <si>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</si>
  <si>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</si>
  <si>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</si>
  <si>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</si>
  <si>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</si>
  <si>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</si>
  <si>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</si>
  <si>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</si>
  <si>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</si>
  <si>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</si>
  <si>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</si>
  <si>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</si>
  <si>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</si>
  <si>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</si>
  <si>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</si>
  <si>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</si>
  <si>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</si>
  <si>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</si>
  <si>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</si>
  <si>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</si>
  <si>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</si>
  <si>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</si>
  <si>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</si>
  <si>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</si>
  <si>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</si>
  <si>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</si>
  <si>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</si>
  <si>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</si>
  <si>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</si>
  <si>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</si>
  <si>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</si>
  <si>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</si>
  <si>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</si>
  <si>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</si>
  <si>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</si>
  <si>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</si>
  <si>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</si>
  <si>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</si>
  <si>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</si>
  <si>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</si>
  <si>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</si>
  <si>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</si>
  <si>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</si>
  <si>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</si>
  <si>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</si>
  <si>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</si>
  <si>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</si>
  <si>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</si>
  <si>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</si>
  <si>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</si>
  <si>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</si>
  <si>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</si>
  <si>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</si>
  <si>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</si>
  <si>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</si>
  <si>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</si>
  <si>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</si>
  <si>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</si>
  <si>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</si>
  <si>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</si>
  <si>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</si>
  <si>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</si>
  <si>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</si>
  <si>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</si>
  <si>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</si>
  <si>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</si>
  <si>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</si>
  <si>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</si>
  <si>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</si>
  <si>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</si>
  <si>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</si>
  <si>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</si>
  <si>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</si>
  <si>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</si>
  <si>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</si>
  <si>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</si>
  <si>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</si>
  <si>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</si>
  <si>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</si>
  <si>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</si>
  <si>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</si>
  <si>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</si>
  <si>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</si>
  <si>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</si>
  <si>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</si>
  <si>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</si>
  <si>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</si>
  <si>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</si>
  <si>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</si>
  <si>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</si>
  <si>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</si>
  <si>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</si>
  <si>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</si>
  <si>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</si>
  <si>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</si>
  <si>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</si>
  <si>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</si>
  <si>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</si>
  <si>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</si>
  <si>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</si>
  <si>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</si>
  <si>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</si>
  <si>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</si>
  <si>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</si>
  <si>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</si>
  <si>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</si>
  <si>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</si>
  <si>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</si>
  <si>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</si>
  <si>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</si>
  <si>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</si>
  <si>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</si>
  <si>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</si>
  <si>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</si>
  <si>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</si>
  <si>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</si>
  <si>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</si>
  <si>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</si>
  <si>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</si>
  <si>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</si>
  <si>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</si>
  <si>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</si>
  <si>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</si>
  <si>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</si>
  <si>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</si>
  <si>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</si>
  <si>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</si>
  <si>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</si>
  <si>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</si>
  <si>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</si>
  <si>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</si>
  <si>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</si>
  <si>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</si>
  <si>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</si>
  <si>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</si>
  <si>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</si>
  <si>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</si>
  <si>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</si>
  <si>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</si>
  <si>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</si>
  <si>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</si>
  <si>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</si>
  <si>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</si>
  <si>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</si>
  <si>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</si>
  <si>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</si>
  <si>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</si>
  <si>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</si>
  <si>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</si>
  <si>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</si>
  <si>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</si>
  <si>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</si>
  <si>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</si>
  <si>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</si>
  <si>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</si>
  <si>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</si>
  <si>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</si>
  <si>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</si>
  <si>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</si>
  <si>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</si>
  <si>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</si>
  <si>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</si>
  <si>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</si>
  <si>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</si>
  <si>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</si>
  <si>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</si>
  <si>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</si>
  <si>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</si>
  <si>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</si>
  <si>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</si>
  <si>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</si>
  <si>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</si>
  <si>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</si>
  <si>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</si>
  <si>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</si>
  <si>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</si>
  <si>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</si>
  <si>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</si>
  <si>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</si>
  <si>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</si>
  <si>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</si>
  <si>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</si>
  <si>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</si>
  <si>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</si>
  <si>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</si>
  <si>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</si>
  <si>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</si>
  <si>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</si>
  <si>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</si>
  <si>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</si>
  <si>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</si>
  <si>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</si>
  <si>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</si>
  <si>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</si>
  <si>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</si>
  <si>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</si>
  <si>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</si>
  <si>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</si>
  <si>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</si>
  <si>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</si>
  <si>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</si>
  <si>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</si>
  <si>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</si>
  <si>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</si>
  <si>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</si>
  <si>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</si>
  <si>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</si>
  <si>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</si>
  <si>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</si>
  <si>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</si>
  <si>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</si>
  <si>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</si>
  <si>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</si>
  <si>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</si>
  <si>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</si>
  <si>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</si>
  <si>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</si>
  <si>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</si>
  <si>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</si>
  <si>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</si>
  <si>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</si>
  <si>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</si>
  <si>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</si>
  <si>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</si>
  <si>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</si>
  <si>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</si>
  <si>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</si>
  <si>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</si>
  <si>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</si>
  <si>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</si>
  <si>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</si>
  <si>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</si>
  <si>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</si>
  <si>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</si>
  <si>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</si>
  <si>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</si>
  <si>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</si>
  <si>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</si>
  <si>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</si>
  <si>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</si>
  <si>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</si>
  <si>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</si>
  <si>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</si>
  <si>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</si>
  <si>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</si>
  <si>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</si>
  <si>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</si>
  <si>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</si>
  <si>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</si>
  <si>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</si>
  <si>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</si>
  <si>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</si>
  <si>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</si>
  <si>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</si>
  <si>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</si>
  <si>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</si>
  <si>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</si>
  <si>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</si>
  <si>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</si>
  <si>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</si>
  <si>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</si>
  <si>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</si>
  <si>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</si>
  <si>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</si>
  <si>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</si>
  <si>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</si>
  <si>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</si>
  <si>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</si>
  <si>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</si>
  <si>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</si>
  <si>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</si>
  <si>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</si>
  <si>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</si>
  <si>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</si>
  <si>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</si>
  <si>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</si>
  <si>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</si>
  <si>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</si>
  <si>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</si>
  <si>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</si>
  <si>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</si>
  <si>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</si>
  <si>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</si>
  <si>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</si>
  <si>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</si>
  <si>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</si>
  <si>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</si>
  <si>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</si>
  <si>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</si>
  <si>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</si>
  <si>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</si>
  <si>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</si>
  <si>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</si>
  <si>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</si>
  <si>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</si>
  <si>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</si>
  <si>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</si>
  <si>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</si>
  <si>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</si>
  <si>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</si>
  <si>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</si>
  <si>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</si>
  <si>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</si>
  <si>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</si>
  <si>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</si>
  <si>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</si>
  <si>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</si>
  <si>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</si>
  <si>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</si>
  <si>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</si>
  <si>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</si>
  <si>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</si>
  <si>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</si>
  <si>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</si>
  <si>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</si>
  <si>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</si>
  <si>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</si>
  <si>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</si>
  <si>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</si>
  <si>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</si>
  <si>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</si>
  <si>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</si>
  <si>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</si>
  <si>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</si>
  <si>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</si>
  <si>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</si>
  <si>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</si>
  <si>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</si>
  <si>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</si>
  <si>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</si>
  <si>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</si>
  <si>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</si>
  <si>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</si>
  <si>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</si>
  <si>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</si>
  <si>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</si>
  <si>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</si>
  <si>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</si>
  <si>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</si>
  <si>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</si>
  <si>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</si>
  <si>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</si>
  <si>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</si>
  <si>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</si>
  <si>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</si>
  <si>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</si>
  <si>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</si>
  <si>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</si>
  <si>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</si>
  <si>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</si>
  <si>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</si>
  <si>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</si>
  <si>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</si>
  <si>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</si>
  <si>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</si>
  <si>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</si>
  <si>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</si>
  <si>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</si>
  <si>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</si>
  <si>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</si>
  <si>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</si>
  <si>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</si>
  <si>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</si>
  <si>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</si>
  <si>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</si>
  <si>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</si>
  <si>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</si>
  <si>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</si>
  <si>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</si>
  <si>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</si>
  <si>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</si>
  <si>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</si>
  <si>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</si>
  <si>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</si>
  <si>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</si>
  <si>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</si>
  <si>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</si>
  <si>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</si>
  <si>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</si>
  <si>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</si>
  <si>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</si>
  <si>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</si>
  <si>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</si>
  <si>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</si>
  <si>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</si>
  <si>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</si>
  <si>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</si>
  <si>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</si>
  <si>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</si>
  <si>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</si>
  <si>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</si>
  <si>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</si>
  <si>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پردیس 2150 تا 2316.1</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</si>
  <si>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</si>
  <si>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</si>
  <si>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</si>
  <si>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</si>
  <si>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</si>
  <si>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</si>
  <si>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</si>
  <si>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</si>
  <si>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</si>
  <si>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</si>
  <si>
    <t>فروی</t>
  </si>
  <si>
    <t>فروی 50 تا 1400</t>
  </si>
  <si>
    <t>12/11/1398</t>
  </si>
  <si>
    <t>شاراک 126 تا 1026.5</t>
  </si>
  <si>
    <t>نود و5 دستی و 230 چراغ ماشین</t>
  </si>
  <si>
    <t>شاراک 165 تا 1026.4</t>
  </si>
  <si>
    <t>بدهی علی به صندوق 12/11/1398</t>
  </si>
  <si>
    <t>شاراک 1011 تا 1026.3</t>
  </si>
  <si>
    <t>زاگرس 71 تا 6980.8</t>
  </si>
  <si>
    <t>شاراک 178 تا 1018.7</t>
  </si>
  <si>
    <t>واریز 1680000 حساب علی و 100000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</si>
</sst>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7" sqref="Q5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5307</v>
      </c>
      <c r="P48" s="18">
        <v>300000</v>
      </c>
      <c r="Q48" s="99">
        <v>3</v>
      </c>
      <c r="R48" s="99"/>
      <c r="S48" s="96"/>
      <c r="T48" s="96"/>
    </row>
    <row r="49" spans="1:21">
      <c r="A49" s="96"/>
      <c r="B49" s="96"/>
      <c r="E49" s="96"/>
      <c r="F49" s="96"/>
      <c r="O49" s="99" t="s">
        <v>5316</v>
      </c>
      <c r="P49" s="18">
        <v>-50000</v>
      </c>
      <c r="Q49" s="99">
        <v>3</v>
      </c>
      <c r="R49" s="99"/>
      <c r="S49" s="96"/>
      <c r="T49" s="96"/>
    </row>
    <row r="50" spans="1:21">
      <c r="A50" s="96"/>
      <c r="B50" s="96"/>
      <c r="E50" s="96"/>
      <c r="F50" s="96"/>
      <c r="O50" s="99" t="s">
        <v>5322</v>
      </c>
      <c r="P50" s="18">
        <v>-1683146</v>
      </c>
      <c r="Q50" s="99">
        <v>10</v>
      </c>
      <c r="R50" s="99"/>
      <c r="S50" s="96"/>
      <c r="T50" s="96"/>
    </row>
    <row r="51" spans="1:21">
      <c r="A51" s="96"/>
      <c r="B51" s="96"/>
      <c r="E51" s="96"/>
      <c r="F51" s="96"/>
      <c r="O51" s="99" t="s">
        <v>5342</v>
      </c>
      <c r="P51" s="18">
        <v>700000</v>
      </c>
      <c r="Q51" s="99">
        <v>18</v>
      </c>
      <c r="R51" s="99"/>
      <c r="S51" s="96"/>
      <c r="T51" s="96"/>
    </row>
    <row r="52" spans="1:21">
      <c r="A52" s="96"/>
      <c r="B52" s="96"/>
      <c r="E52" s="96"/>
      <c r="F52" s="96"/>
      <c r="O52" s="99" t="s">
        <v>5357</v>
      </c>
      <c r="P52" s="18">
        <v>-700000</v>
      </c>
      <c r="Q52" s="99">
        <v>46</v>
      </c>
      <c r="R52" s="99"/>
    </row>
    <row r="53" spans="1:21">
      <c r="A53" s="96"/>
      <c r="B53" s="96"/>
      <c r="E53" s="96"/>
      <c r="F53" s="96"/>
      <c r="O53" s="99" t="s">
        <v>5411</v>
      </c>
      <c r="P53" s="18">
        <v>1000000</v>
      </c>
      <c r="Q53" s="99">
        <v>4</v>
      </c>
      <c r="R53" s="99"/>
    </row>
    <row r="54" spans="1:21">
      <c r="A54" s="96"/>
      <c r="B54" s="96"/>
      <c r="E54" s="96"/>
      <c r="F54" s="96"/>
      <c r="O54" s="99" t="s">
        <v>5417</v>
      </c>
      <c r="P54" s="18">
        <v>1500000</v>
      </c>
      <c r="Q54" s="99">
        <v>1</v>
      </c>
      <c r="R54" s="99"/>
    </row>
    <row r="55" spans="1:21">
      <c r="A55" s="96"/>
      <c r="B55" s="96"/>
      <c r="E55" s="96"/>
      <c r="F55" s="96"/>
      <c r="O55" s="99" t="s">
        <v>5418</v>
      </c>
      <c r="P55" s="18">
        <v>-1500000</v>
      </c>
      <c r="Q55" s="99">
        <v>15</v>
      </c>
      <c r="R55" s="99"/>
    </row>
    <row r="56" spans="1:21">
      <c r="A56" s="96"/>
      <c r="B56" s="96"/>
      <c r="E56" s="96"/>
      <c r="F56" s="96"/>
      <c r="O56" s="99" t="s">
        <v>5466</v>
      </c>
      <c r="P56" s="18">
        <v>-100000</v>
      </c>
      <c r="Q56" s="99">
        <v>1</v>
      </c>
      <c r="R56" s="99"/>
    </row>
    <row r="57" spans="1:21">
      <c r="A57" s="96"/>
      <c r="B57" s="96"/>
      <c r="E57" s="96"/>
      <c r="F57" s="96"/>
      <c r="O57" s="99"/>
      <c r="P57" s="18"/>
      <c r="Q57" s="99"/>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900000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5321</v>
      </c>
      <c r="I95" t="s">
        <v>25</v>
      </c>
    </row>
    <row r="96" spans="1:21">
      <c r="D96" s="18">
        <v>-230000</v>
      </c>
      <c r="E96" s="255" t="s">
        <v>5332</v>
      </c>
    </row>
    <row r="97" spans="4:10">
      <c r="D97" s="18">
        <v>-168950</v>
      </c>
      <c r="E97" s="255" t="s">
        <v>4402</v>
      </c>
      <c r="J97" t="s">
        <v>25</v>
      </c>
    </row>
    <row r="98" spans="4:10">
      <c r="D98" s="18">
        <v>-250000</v>
      </c>
      <c r="E98" s="255" t="s">
        <v>5346</v>
      </c>
    </row>
    <row r="99" spans="4:10">
      <c r="D99" s="18">
        <v>500000</v>
      </c>
      <c r="E99" s="255" t="s">
        <v>5360</v>
      </c>
    </row>
    <row r="100" spans="4:10">
      <c r="D100" s="18">
        <v>-520000</v>
      </c>
      <c r="E100" s="255" t="s">
        <v>5359</v>
      </c>
      <c r="J100" t="s">
        <v>25</v>
      </c>
    </row>
    <row r="101" spans="4:10">
      <c r="D101" s="18">
        <v>500000</v>
      </c>
      <c r="E101" s="255" t="s">
        <v>5370</v>
      </c>
    </row>
    <row r="102" spans="4:10">
      <c r="D102" s="18">
        <v>-200000</v>
      </c>
      <c r="E102" s="255" t="s">
        <v>5374</v>
      </c>
    </row>
    <row r="103" spans="4:10">
      <c r="D103" s="18">
        <v>-300000</v>
      </c>
      <c r="E103" s="255" t="s">
        <v>5375</v>
      </c>
    </row>
    <row r="104" spans="4:10">
      <c r="D104" s="18">
        <v>-530000</v>
      </c>
      <c r="E104" s="255" t="s">
        <v>5396</v>
      </c>
    </row>
    <row r="105" spans="4:10">
      <c r="D105" s="18">
        <v>-550000</v>
      </c>
      <c r="E105" s="255" t="s">
        <v>5398</v>
      </c>
    </row>
    <row r="106" spans="4:10">
      <c r="D106" s="18">
        <v>-200000</v>
      </c>
      <c r="E106" s="255" t="s">
        <v>5425</v>
      </c>
    </row>
    <row r="107" spans="4:10">
      <c r="D107" s="18">
        <v>-1600000</v>
      </c>
      <c r="E107" s="255" t="s">
        <v>5428</v>
      </c>
      <c r="G107" t="s">
        <v>25</v>
      </c>
    </row>
    <row r="108" spans="4:10">
      <c r="D108" s="18">
        <v>1600000</v>
      </c>
      <c r="E108" s="255" t="s">
        <v>5437</v>
      </c>
    </row>
    <row r="109" spans="4:10">
      <c r="D109" s="18">
        <v>-550000</v>
      </c>
      <c r="E109" s="255" t="s">
        <v>5442</v>
      </c>
    </row>
    <row r="110" spans="4:10">
      <c r="D110" s="18">
        <v>-15000</v>
      </c>
      <c r="E110" s="255" t="s">
        <v>5448</v>
      </c>
    </row>
    <row r="111" spans="4:10">
      <c r="D111" s="18">
        <v>-325000</v>
      </c>
      <c r="E111" s="255" t="s">
        <v>5479</v>
      </c>
    </row>
    <row r="112" spans="4:10">
      <c r="D112" s="18"/>
      <c r="E112" s="255"/>
    </row>
    <row r="113" spans="4:10">
      <c r="D113" s="18"/>
      <c r="E113" s="96"/>
      <c r="J113" t="s">
        <v>25</v>
      </c>
    </row>
    <row r="114" spans="4:10">
      <c r="D114" s="18"/>
      <c r="E114" s="96" t="s">
        <v>25</v>
      </c>
    </row>
    <row r="115" spans="4:10">
      <c r="D115" s="18">
        <f>SUM(D40:D114)</f>
        <v>25441459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C374" sqref="C37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1336</v>
      </c>
      <c r="E2" s="11">
        <f>IF(B2&gt;0,1,0)</f>
        <v>1</v>
      </c>
      <c r="F2" s="11">
        <f>B2*(D2-E2)</f>
        <v>129094500</v>
      </c>
      <c r="G2" s="11" t="s">
        <v>1</v>
      </c>
    </row>
    <row r="3" spans="1:7">
      <c r="A3" s="11" t="s">
        <v>394</v>
      </c>
      <c r="B3" s="3">
        <v>3000000</v>
      </c>
      <c r="C3" s="11">
        <v>3</v>
      </c>
      <c r="D3" s="11">
        <f t="shared" si="0"/>
        <v>1334</v>
      </c>
      <c r="E3" s="11">
        <f t="shared" ref="E3:E66" si="1">IF(B3&gt;0,1,0)</f>
        <v>1</v>
      </c>
      <c r="F3" s="11">
        <f t="shared" ref="F3:F66" si="2">B3*(D3-E3)</f>
        <v>3999000000</v>
      </c>
      <c r="G3" s="11"/>
    </row>
    <row r="4" spans="1:7">
      <c r="A4" s="11" t="s">
        <v>393</v>
      </c>
      <c r="B4" s="3">
        <v>-200000</v>
      </c>
      <c r="C4" s="11">
        <v>2</v>
      </c>
      <c r="D4" s="11">
        <f t="shared" si="0"/>
        <v>1331</v>
      </c>
      <c r="E4" s="11">
        <f t="shared" si="1"/>
        <v>0</v>
      </c>
      <c r="F4" s="11">
        <f t="shared" si="2"/>
        <v>-266200000</v>
      </c>
      <c r="G4" s="11"/>
    </row>
    <row r="5" spans="1:7">
      <c r="A5" s="11" t="s">
        <v>392</v>
      </c>
      <c r="B5" s="3">
        <v>-100000</v>
      </c>
      <c r="C5" s="11">
        <v>1</v>
      </c>
      <c r="D5" s="11">
        <f t="shared" si="0"/>
        <v>1329</v>
      </c>
      <c r="E5" s="11">
        <f t="shared" si="1"/>
        <v>0</v>
      </c>
      <c r="F5" s="11">
        <f t="shared" si="2"/>
        <v>-132900000</v>
      </c>
      <c r="G5" s="11"/>
    </row>
    <row r="6" spans="1:7">
      <c r="A6" s="11" t="s">
        <v>391</v>
      </c>
      <c r="B6" s="3">
        <v>-55000</v>
      </c>
      <c r="C6" s="11">
        <v>1</v>
      </c>
      <c r="D6" s="11">
        <f t="shared" si="0"/>
        <v>1328</v>
      </c>
      <c r="E6" s="11">
        <f t="shared" si="1"/>
        <v>0</v>
      </c>
      <c r="F6" s="11">
        <f t="shared" si="2"/>
        <v>-73040000</v>
      </c>
      <c r="G6" s="11"/>
    </row>
    <row r="7" spans="1:7">
      <c r="A7" s="11" t="s">
        <v>390</v>
      </c>
      <c r="B7" s="3">
        <v>-200000</v>
      </c>
      <c r="C7" s="11">
        <v>4</v>
      </c>
      <c r="D7" s="11">
        <f t="shared" si="0"/>
        <v>1327</v>
      </c>
      <c r="E7" s="11">
        <f t="shared" si="1"/>
        <v>0</v>
      </c>
      <c r="F7" s="11">
        <f t="shared" si="2"/>
        <v>-265400000</v>
      </c>
      <c r="G7" s="11"/>
    </row>
    <row r="8" spans="1:7">
      <c r="A8" s="11" t="s">
        <v>389</v>
      </c>
      <c r="B8" s="3">
        <v>-200000</v>
      </c>
      <c r="C8" s="11">
        <v>10</v>
      </c>
      <c r="D8" s="11">
        <f t="shared" si="0"/>
        <v>1323</v>
      </c>
      <c r="E8" s="11">
        <f t="shared" si="1"/>
        <v>0</v>
      </c>
      <c r="F8" s="11">
        <f t="shared" si="2"/>
        <v>-264600000</v>
      </c>
      <c r="G8" s="11"/>
    </row>
    <row r="9" spans="1:7">
      <c r="A9" s="11" t="s">
        <v>388</v>
      </c>
      <c r="B9" s="3">
        <v>-950500</v>
      </c>
      <c r="C9" s="11">
        <v>1</v>
      </c>
      <c r="D9" s="11">
        <f t="shared" si="0"/>
        <v>1313</v>
      </c>
      <c r="E9" s="11">
        <f t="shared" si="1"/>
        <v>0</v>
      </c>
      <c r="F9" s="11">
        <f t="shared" si="2"/>
        <v>-1248006500</v>
      </c>
      <c r="G9" s="11"/>
    </row>
    <row r="10" spans="1:7">
      <c r="A10" s="23" t="s">
        <v>387</v>
      </c>
      <c r="B10" s="3">
        <v>2000000</v>
      </c>
      <c r="C10" s="11">
        <v>2</v>
      </c>
      <c r="D10" s="11">
        <f t="shared" si="0"/>
        <v>1312</v>
      </c>
      <c r="E10" s="11">
        <f t="shared" si="1"/>
        <v>1</v>
      </c>
      <c r="F10" s="11">
        <f t="shared" si="2"/>
        <v>2622000000</v>
      </c>
      <c r="G10" s="11"/>
    </row>
    <row r="11" spans="1:7">
      <c r="A11" s="11" t="s">
        <v>386</v>
      </c>
      <c r="B11" s="3">
        <v>-1065000</v>
      </c>
      <c r="C11" s="11">
        <v>3</v>
      </c>
      <c r="D11" s="11">
        <f t="shared" si="0"/>
        <v>1310</v>
      </c>
      <c r="E11" s="11">
        <f t="shared" si="1"/>
        <v>0</v>
      </c>
      <c r="F11" s="11">
        <f t="shared" si="2"/>
        <v>-1395150000</v>
      </c>
      <c r="G11" s="11"/>
    </row>
    <row r="12" spans="1:7">
      <c r="A12" s="11" t="s">
        <v>385</v>
      </c>
      <c r="B12" s="3">
        <v>-45000</v>
      </c>
      <c r="C12" s="11">
        <v>1</v>
      </c>
      <c r="D12" s="11">
        <f t="shared" si="0"/>
        <v>1307</v>
      </c>
      <c r="E12" s="11">
        <f t="shared" si="1"/>
        <v>0</v>
      </c>
      <c r="F12" s="11">
        <f t="shared" si="2"/>
        <v>-58815000</v>
      </c>
      <c r="G12" s="11"/>
    </row>
    <row r="13" spans="1:7">
      <c r="A13" s="11" t="s">
        <v>384</v>
      </c>
      <c r="B13" s="3">
        <v>-2000700</v>
      </c>
      <c r="C13" s="11">
        <v>4</v>
      </c>
      <c r="D13" s="11">
        <f t="shared" si="0"/>
        <v>1306</v>
      </c>
      <c r="E13" s="11">
        <f t="shared" si="1"/>
        <v>0</v>
      </c>
      <c r="F13" s="11">
        <f t="shared" si="2"/>
        <v>-2612914200</v>
      </c>
      <c r="G13" s="11"/>
    </row>
    <row r="14" spans="1:7">
      <c r="A14" s="23" t="s">
        <v>383</v>
      </c>
      <c r="B14" s="3">
        <v>-200000</v>
      </c>
      <c r="C14" s="11">
        <v>2</v>
      </c>
      <c r="D14" s="11">
        <f t="shared" si="0"/>
        <v>1302</v>
      </c>
      <c r="E14" s="11">
        <f t="shared" si="1"/>
        <v>0</v>
      </c>
      <c r="F14" s="11">
        <f t="shared" si="2"/>
        <v>-260400000</v>
      </c>
      <c r="G14" s="11"/>
    </row>
    <row r="15" spans="1:7">
      <c r="A15" s="11" t="s">
        <v>382</v>
      </c>
      <c r="B15" s="3">
        <v>2000000</v>
      </c>
      <c r="C15" s="11">
        <v>0</v>
      </c>
      <c r="D15" s="11">
        <f t="shared" si="0"/>
        <v>1300</v>
      </c>
      <c r="E15" s="11">
        <f t="shared" si="1"/>
        <v>1</v>
      </c>
      <c r="F15" s="11">
        <f t="shared" si="2"/>
        <v>2598000000</v>
      </c>
      <c r="G15" s="11"/>
    </row>
    <row r="16" spans="1:7">
      <c r="A16" s="11" t="s">
        <v>382</v>
      </c>
      <c r="B16" s="3">
        <v>2000000</v>
      </c>
      <c r="C16" s="11">
        <v>0</v>
      </c>
      <c r="D16" s="11">
        <f t="shared" si="0"/>
        <v>1300</v>
      </c>
      <c r="E16" s="11">
        <f t="shared" si="1"/>
        <v>1</v>
      </c>
      <c r="F16" s="11">
        <f t="shared" si="2"/>
        <v>2598000000</v>
      </c>
      <c r="G16" s="11"/>
    </row>
    <row r="17" spans="1:12">
      <c r="A17" s="11" t="s">
        <v>382</v>
      </c>
      <c r="B17" s="3">
        <v>1200000</v>
      </c>
      <c r="C17" s="11">
        <v>0</v>
      </c>
      <c r="D17" s="11">
        <f t="shared" si="0"/>
        <v>1300</v>
      </c>
      <c r="E17" s="11">
        <f t="shared" si="1"/>
        <v>1</v>
      </c>
      <c r="F17" s="11">
        <f t="shared" si="2"/>
        <v>1558800000</v>
      </c>
      <c r="G17" s="11"/>
    </row>
    <row r="18" spans="1:12">
      <c r="A18" s="11" t="s">
        <v>382</v>
      </c>
      <c r="B18" s="3">
        <v>1000000</v>
      </c>
      <c r="C18" s="11">
        <v>1</v>
      </c>
      <c r="D18" s="11">
        <f t="shared" si="0"/>
        <v>1300</v>
      </c>
      <c r="E18" s="11">
        <f t="shared" si="1"/>
        <v>1</v>
      </c>
      <c r="F18" s="11">
        <f t="shared" si="2"/>
        <v>1299000000</v>
      </c>
      <c r="G18" s="11"/>
    </row>
    <row r="19" spans="1:12">
      <c r="A19" s="11" t="s">
        <v>381</v>
      </c>
      <c r="B19" s="3">
        <v>3000000</v>
      </c>
      <c r="C19" s="11">
        <v>0</v>
      </c>
      <c r="D19" s="11">
        <f t="shared" si="0"/>
        <v>1299</v>
      </c>
      <c r="E19" s="11">
        <f t="shared" si="1"/>
        <v>1</v>
      </c>
      <c r="F19" s="11">
        <f t="shared" si="2"/>
        <v>3894000000</v>
      </c>
      <c r="G19" s="11"/>
      <c r="L19" t="s">
        <v>25</v>
      </c>
    </row>
    <row r="20" spans="1:12">
      <c r="A20" s="11" t="s">
        <v>381</v>
      </c>
      <c r="B20" s="3">
        <v>-432700</v>
      </c>
      <c r="C20" s="11">
        <v>0</v>
      </c>
      <c r="D20" s="11">
        <f t="shared" si="0"/>
        <v>1299</v>
      </c>
      <c r="E20" s="11">
        <f t="shared" si="1"/>
        <v>0</v>
      </c>
      <c r="F20" s="11">
        <f t="shared" si="2"/>
        <v>-562077300</v>
      </c>
      <c r="G20" s="11"/>
    </row>
    <row r="21" spans="1:12">
      <c r="A21" s="11" t="s">
        <v>381</v>
      </c>
      <c r="B21" s="3">
        <v>-432700</v>
      </c>
      <c r="C21" s="11">
        <v>0</v>
      </c>
      <c r="D21" s="11">
        <f t="shared" si="0"/>
        <v>1299</v>
      </c>
      <c r="E21" s="11">
        <f t="shared" si="1"/>
        <v>0</v>
      </c>
      <c r="F21" s="11">
        <f t="shared" si="2"/>
        <v>-562077300</v>
      </c>
      <c r="G21" s="11"/>
    </row>
    <row r="22" spans="1:12">
      <c r="A22" s="11" t="s">
        <v>381</v>
      </c>
      <c r="B22" s="3">
        <v>-432700</v>
      </c>
      <c r="C22" s="11">
        <v>0</v>
      </c>
      <c r="D22" s="11">
        <f t="shared" si="0"/>
        <v>1299</v>
      </c>
      <c r="E22" s="11">
        <f t="shared" si="1"/>
        <v>0</v>
      </c>
      <c r="F22" s="11">
        <f t="shared" si="2"/>
        <v>-562077300</v>
      </c>
      <c r="G22" s="11"/>
    </row>
    <row r="23" spans="1:12">
      <c r="A23" s="11" t="s">
        <v>381</v>
      </c>
      <c r="B23" s="3">
        <v>-432700</v>
      </c>
      <c r="C23" s="11">
        <v>0</v>
      </c>
      <c r="D23" s="11">
        <f t="shared" si="0"/>
        <v>1299</v>
      </c>
      <c r="E23" s="11">
        <f t="shared" si="1"/>
        <v>0</v>
      </c>
      <c r="F23" s="11">
        <f t="shared" si="2"/>
        <v>-562077300</v>
      </c>
      <c r="G23" s="11"/>
    </row>
    <row r="24" spans="1:12">
      <c r="A24" s="11" t="s">
        <v>381</v>
      </c>
      <c r="B24" s="3">
        <v>-432700</v>
      </c>
      <c r="C24" s="11">
        <v>0</v>
      </c>
      <c r="D24" s="11">
        <f t="shared" si="0"/>
        <v>1299</v>
      </c>
      <c r="E24" s="11">
        <f t="shared" si="1"/>
        <v>0</v>
      </c>
      <c r="F24" s="11">
        <f t="shared" si="2"/>
        <v>-562077300</v>
      </c>
      <c r="G24" s="11"/>
    </row>
    <row r="25" spans="1:12">
      <c r="A25" s="11" t="s">
        <v>381</v>
      </c>
      <c r="B25" s="3">
        <v>-200000</v>
      </c>
      <c r="C25" s="11">
        <v>1</v>
      </c>
      <c r="D25" s="11">
        <f t="shared" si="0"/>
        <v>1299</v>
      </c>
      <c r="E25" s="11">
        <f t="shared" si="1"/>
        <v>0</v>
      </c>
      <c r="F25" s="11">
        <f t="shared" si="2"/>
        <v>-259800000</v>
      </c>
      <c r="G25" s="11"/>
    </row>
    <row r="26" spans="1:12">
      <c r="A26" s="11" t="s">
        <v>380</v>
      </c>
      <c r="B26" s="3">
        <v>3000000</v>
      </c>
      <c r="C26" s="11">
        <v>2</v>
      </c>
      <c r="D26" s="11">
        <f t="shared" si="0"/>
        <v>1298</v>
      </c>
      <c r="E26" s="11">
        <f t="shared" si="1"/>
        <v>1</v>
      </c>
      <c r="F26" s="11">
        <f t="shared" si="2"/>
        <v>3891000000</v>
      </c>
      <c r="G26" s="11"/>
    </row>
    <row r="27" spans="1:12">
      <c r="A27" s="11" t="s">
        <v>379</v>
      </c>
      <c r="B27" s="3">
        <v>-200000</v>
      </c>
      <c r="C27" s="11">
        <v>1</v>
      </c>
      <c r="D27" s="11">
        <f t="shared" si="0"/>
        <v>1296</v>
      </c>
      <c r="E27" s="11">
        <f t="shared" si="1"/>
        <v>0</v>
      </c>
      <c r="F27" s="11">
        <f t="shared" si="2"/>
        <v>-259200000</v>
      </c>
      <c r="G27" s="11"/>
    </row>
    <row r="28" spans="1:12">
      <c r="A28" s="11" t="s">
        <v>378</v>
      </c>
      <c r="B28" s="3">
        <v>2000000</v>
      </c>
      <c r="C28" s="11">
        <v>1</v>
      </c>
      <c r="D28" s="11">
        <f t="shared" si="0"/>
        <v>1295</v>
      </c>
      <c r="E28" s="11">
        <f t="shared" si="1"/>
        <v>1</v>
      </c>
      <c r="F28" s="11">
        <f t="shared" si="2"/>
        <v>2588000000</v>
      </c>
      <c r="G28" s="11"/>
    </row>
    <row r="29" spans="1:12">
      <c r="A29" s="11" t="s">
        <v>377</v>
      </c>
      <c r="B29" s="3">
        <v>-7000800</v>
      </c>
      <c r="C29" s="11">
        <v>1</v>
      </c>
      <c r="D29" s="11">
        <f t="shared" si="0"/>
        <v>1294</v>
      </c>
      <c r="E29" s="11">
        <f t="shared" si="1"/>
        <v>0</v>
      </c>
      <c r="F29" s="11">
        <f t="shared" si="2"/>
        <v>-9059035200</v>
      </c>
      <c r="G29" s="11"/>
    </row>
    <row r="30" spans="1:12">
      <c r="A30" s="23" t="s">
        <v>54</v>
      </c>
      <c r="B30" s="3">
        <v>-3000900</v>
      </c>
      <c r="C30" s="11">
        <v>1</v>
      </c>
      <c r="D30" s="11">
        <f t="shared" si="0"/>
        <v>1293</v>
      </c>
      <c r="E30" s="11">
        <f t="shared" si="1"/>
        <v>0</v>
      </c>
      <c r="F30" s="11">
        <f t="shared" si="2"/>
        <v>-3880163700</v>
      </c>
      <c r="G30" s="11"/>
    </row>
    <row r="31" spans="1:12">
      <c r="A31" s="11" t="s">
        <v>55</v>
      </c>
      <c r="B31" s="3">
        <v>-1695900</v>
      </c>
      <c r="C31" s="11">
        <v>3</v>
      </c>
      <c r="D31" s="11">
        <f t="shared" si="0"/>
        <v>1292</v>
      </c>
      <c r="E31" s="11">
        <f t="shared" si="1"/>
        <v>0</v>
      </c>
      <c r="F31" s="11">
        <f t="shared" si="2"/>
        <v>-2191102800</v>
      </c>
      <c r="G31" s="11"/>
    </row>
    <row r="32" spans="1:12">
      <c r="A32" s="11" t="s">
        <v>376</v>
      </c>
      <c r="B32" s="3">
        <v>994300</v>
      </c>
      <c r="C32" s="11">
        <v>6</v>
      </c>
      <c r="D32" s="11">
        <f t="shared" si="0"/>
        <v>1289</v>
      </c>
      <c r="E32" s="11">
        <f t="shared" si="1"/>
        <v>1</v>
      </c>
      <c r="F32" s="11">
        <f t="shared" si="2"/>
        <v>1280658400</v>
      </c>
      <c r="G32" s="11"/>
    </row>
    <row r="33" spans="1:7">
      <c r="A33" s="11" t="s">
        <v>374</v>
      </c>
      <c r="B33" s="3">
        <v>35091</v>
      </c>
      <c r="C33" s="11">
        <v>1</v>
      </c>
      <c r="D33" s="11">
        <f t="shared" si="0"/>
        <v>1283</v>
      </c>
      <c r="E33" s="11">
        <f t="shared" si="1"/>
        <v>1</v>
      </c>
      <c r="F33" s="11">
        <f t="shared" si="2"/>
        <v>44986662</v>
      </c>
      <c r="G33" s="11" t="s">
        <v>375</v>
      </c>
    </row>
    <row r="34" spans="1:7">
      <c r="A34" s="11" t="s">
        <v>373</v>
      </c>
      <c r="B34" s="3">
        <v>-850000</v>
      </c>
      <c r="C34" s="11">
        <v>8</v>
      </c>
      <c r="D34" s="11">
        <f t="shared" si="0"/>
        <v>1282</v>
      </c>
      <c r="E34" s="11">
        <f t="shared" si="1"/>
        <v>0</v>
      </c>
      <c r="F34" s="11">
        <f t="shared" si="2"/>
        <v>-1089700000</v>
      </c>
      <c r="G34" s="11"/>
    </row>
    <row r="35" spans="1:7">
      <c r="A35" s="23" t="s">
        <v>372</v>
      </c>
      <c r="B35" s="3">
        <v>-190500</v>
      </c>
      <c r="C35" s="11">
        <v>1</v>
      </c>
      <c r="D35" s="11">
        <f t="shared" si="0"/>
        <v>1274</v>
      </c>
      <c r="E35" s="11">
        <f t="shared" si="1"/>
        <v>0</v>
      </c>
      <c r="F35" s="11">
        <f t="shared" si="2"/>
        <v>-242697000</v>
      </c>
      <c r="G35" s="11"/>
    </row>
    <row r="36" spans="1:7">
      <c r="A36" s="37" t="s">
        <v>80</v>
      </c>
      <c r="B36" s="3">
        <v>200000</v>
      </c>
      <c r="C36" s="11">
        <v>0</v>
      </c>
      <c r="D36" s="11">
        <f t="shared" si="0"/>
        <v>1273</v>
      </c>
      <c r="E36" s="11">
        <f t="shared" si="1"/>
        <v>1</v>
      </c>
      <c r="F36" s="11">
        <f t="shared" si="2"/>
        <v>254400000</v>
      </c>
      <c r="G36" s="11"/>
    </row>
    <row r="37" spans="1:7">
      <c r="A37" s="11" t="s">
        <v>80</v>
      </c>
      <c r="B37" s="3">
        <v>-200000</v>
      </c>
      <c r="C37" s="11">
        <v>22</v>
      </c>
      <c r="D37" s="11">
        <f t="shared" si="0"/>
        <v>1273</v>
      </c>
      <c r="E37" s="11">
        <f t="shared" si="1"/>
        <v>0</v>
      </c>
      <c r="F37" s="11">
        <f t="shared" si="2"/>
        <v>-254600000</v>
      </c>
      <c r="G37" s="11"/>
    </row>
    <row r="38" spans="1:7">
      <c r="A38" s="23" t="s">
        <v>371</v>
      </c>
      <c r="B38" s="3">
        <v>300806</v>
      </c>
      <c r="C38" s="11">
        <v>1</v>
      </c>
      <c r="D38" s="11">
        <f t="shared" si="0"/>
        <v>1251</v>
      </c>
      <c r="E38" s="11">
        <f t="shared" si="1"/>
        <v>1</v>
      </c>
      <c r="F38" s="11">
        <f t="shared" si="2"/>
        <v>376007500</v>
      </c>
      <c r="G38" s="11" t="s">
        <v>395</v>
      </c>
    </row>
    <row r="39" spans="1:7">
      <c r="A39" s="11" t="s">
        <v>370</v>
      </c>
      <c r="B39" s="3">
        <v>-95000</v>
      </c>
      <c r="C39" s="11">
        <v>0</v>
      </c>
      <c r="D39" s="11">
        <f t="shared" si="0"/>
        <v>1250</v>
      </c>
      <c r="E39" s="11">
        <f t="shared" si="1"/>
        <v>0</v>
      </c>
      <c r="F39" s="11">
        <f t="shared" si="2"/>
        <v>-118750000</v>
      </c>
      <c r="G39" s="11"/>
    </row>
    <row r="40" spans="1:7">
      <c r="A40" s="11" t="s">
        <v>370</v>
      </c>
      <c r="B40" s="3">
        <v>-88103</v>
      </c>
      <c r="C40" s="11">
        <v>5</v>
      </c>
      <c r="D40" s="11">
        <f t="shared" si="0"/>
        <v>1250</v>
      </c>
      <c r="E40" s="11">
        <f t="shared" si="1"/>
        <v>0</v>
      </c>
      <c r="F40" s="11">
        <f t="shared" si="2"/>
        <v>-110128750</v>
      </c>
      <c r="G40" s="11"/>
    </row>
    <row r="41" spans="1:7">
      <c r="A41" s="11" t="s">
        <v>369</v>
      </c>
      <c r="B41" s="3">
        <v>-120000</v>
      </c>
      <c r="C41" s="11">
        <v>22</v>
      </c>
      <c r="D41" s="11">
        <f t="shared" si="0"/>
        <v>1245</v>
      </c>
      <c r="E41" s="11">
        <f t="shared" si="1"/>
        <v>0</v>
      </c>
      <c r="F41" s="11">
        <f t="shared" si="2"/>
        <v>-149400000</v>
      </c>
      <c r="G41" s="11"/>
    </row>
    <row r="42" spans="1:7">
      <c r="A42" s="11" t="s">
        <v>368</v>
      </c>
      <c r="B42" s="3">
        <v>1000204</v>
      </c>
      <c r="C42" s="11">
        <v>4</v>
      </c>
      <c r="D42" s="11">
        <f t="shared" si="0"/>
        <v>1223</v>
      </c>
      <c r="E42" s="11">
        <f t="shared" si="1"/>
        <v>1</v>
      </c>
      <c r="F42" s="11">
        <f t="shared" si="2"/>
        <v>1222249288</v>
      </c>
      <c r="G42" s="11" t="s">
        <v>396</v>
      </c>
    </row>
    <row r="43" spans="1:7">
      <c r="A43" s="11" t="s">
        <v>367</v>
      </c>
      <c r="B43" s="3">
        <v>-80000</v>
      </c>
      <c r="C43" s="11">
        <v>4</v>
      </c>
      <c r="D43" s="11">
        <f t="shared" si="0"/>
        <v>1219</v>
      </c>
      <c r="E43" s="11">
        <f t="shared" si="1"/>
        <v>0</v>
      </c>
      <c r="F43" s="11">
        <f t="shared" si="2"/>
        <v>-97520000</v>
      </c>
      <c r="G43" s="11"/>
    </row>
    <row r="44" spans="1:7">
      <c r="A44" s="11" t="s">
        <v>366</v>
      </c>
      <c r="B44" s="3">
        <v>-211029</v>
      </c>
      <c r="C44" s="11">
        <v>1</v>
      </c>
      <c r="D44" s="11">
        <f t="shared" si="0"/>
        <v>1215</v>
      </c>
      <c r="E44" s="11">
        <f t="shared" si="1"/>
        <v>0</v>
      </c>
      <c r="F44" s="11">
        <f t="shared" si="2"/>
        <v>-256400235</v>
      </c>
      <c r="G44" s="11"/>
    </row>
    <row r="45" spans="1:7">
      <c r="A45" s="11" t="s">
        <v>365</v>
      </c>
      <c r="B45" s="3">
        <v>-200000</v>
      </c>
      <c r="C45" s="11">
        <v>1</v>
      </c>
      <c r="D45" s="11">
        <f t="shared" si="0"/>
        <v>1214</v>
      </c>
      <c r="E45" s="11">
        <f t="shared" si="1"/>
        <v>0</v>
      </c>
      <c r="F45" s="11">
        <f t="shared" si="2"/>
        <v>-242800000</v>
      </c>
      <c r="G45" s="11"/>
    </row>
    <row r="46" spans="1:7">
      <c r="A46" s="11" t="s">
        <v>364</v>
      </c>
      <c r="B46" s="3">
        <v>-95000</v>
      </c>
      <c r="C46" s="11">
        <v>2</v>
      </c>
      <c r="D46" s="11">
        <f t="shared" si="0"/>
        <v>1213</v>
      </c>
      <c r="E46" s="11">
        <f t="shared" si="1"/>
        <v>0</v>
      </c>
      <c r="F46" s="11">
        <f t="shared" si="2"/>
        <v>-115235000</v>
      </c>
      <c r="G46" s="11"/>
    </row>
    <row r="47" spans="1:7">
      <c r="A47" s="11" t="s">
        <v>363</v>
      </c>
      <c r="B47" s="3">
        <v>-45000</v>
      </c>
      <c r="C47" s="11">
        <v>0</v>
      </c>
      <c r="D47" s="11">
        <f t="shared" si="0"/>
        <v>1211</v>
      </c>
      <c r="E47" s="11">
        <f t="shared" si="1"/>
        <v>0</v>
      </c>
      <c r="F47" s="11">
        <f t="shared" si="2"/>
        <v>-54495000</v>
      </c>
      <c r="G47" s="11"/>
    </row>
    <row r="48" spans="1:7">
      <c r="A48" s="11" t="s">
        <v>363</v>
      </c>
      <c r="B48" s="3">
        <v>-64180</v>
      </c>
      <c r="C48" s="11">
        <v>3</v>
      </c>
      <c r="D48" s="11">
        <f t="shared" si="0"/>
        <v>1211</v>
      </c>
      <c r="E48" s="11">
        <f t="shared" si="1"/>
        <v>0</v>
      </c>
      <c r="F48" s="11">
        <f t="shared" si="2"/>
        <v>-77721980</v>
      </c>
      <c r="G48" s="11"/>
    </row>
    <row r="49" spans="1:7">
      <c r="A49" s="11" t="s">
        <v>362</v>
      </c>
      <c r="B49" s="3">
        <v>-27484</v>
      </c>
      <c r="C49" s="11">
        <v>1</v>
      </c>
      <c r="D49" s="11">
        <f t="shared" si="0"/>
        <v>1208</v>
      </c>
      <c r="E49" s="11">
        <f t="shared" si="1"/>
        <v>0</v>
      </c>
      <c r="F49" s="11">
        <f t="shared" si="2"/>
        <v>-33200672</v>
      </c>
      <c r="G49" s="11"/>
    </row>
    <row r="50" spans="1:7">
      <c r="A50" s="11" t="s">
        <v>361</v>
      </c>
      <c r="B50" s="3">
        <v>-141000</v>
      </c>
      <c r="C50" s="11">
        <v>0</v>
      </c>
      <c r="D50" s="11">
        <f t="shared" si="0"/>
        <v>1207</v>
      </c>
      <c r="E50" s="11">
        <f t="shared" si="1"/>
        <v>0</v>
      </c>
      <c r="F50" s="11">
        <f t="shared" si="2"/>
        <v>-170187000</v>
      </c>
      <c r="G50" s="11"/>
    </row>
    <row r="51" spans="1:7">
      <c r="A51" s="11" t="s">
        <v>361</v>
      </c>
      <c r="B51" s="3">
        <v>-26746</v>
      </c>
      <c r="C51" s="11">
        <v>1</v>
      </c>
      <c r="D51" s="11">
        <f t="shared" si="0"/>
        <v>1207</v>
      </c>
      <c r="E51" s="11">
        <f t="shared" si="1"/>
        <v>0</v>
      </c>
      <c r="F51" s="11">
        <f t="shared" si="2"/>
        <v>-32282422</v>
      </c>
      <c r="G51" s="11"/>
    </row>
    <row r="52" spans="1:7">
      <c r="A52" s="11" t="s">
        <v>360</v>
      </c>
      <c r="B52" s="3">
        <v>-53300</v>
      </c>
      <c r="C52" s="11">
        <v>1</v>
      </c>
      <c r="D52" s="11">
        <f t="shared" si="0"/>
        <v>1206</v>
      </c>
      <c r="E52" s="11">
        <f t="shared" si="1"/>
        <v>0</v>
      </c>
      <c r="F52" s="11">
        <f t="shared" si="2"/>
        <v>-64279800</v>
      </c>
      <c r="G52" s="11"/>
    </row>
    <row r="53" spans="1:7">
      <c r="A53" s="11" t="s">
        <v>126</v>
      </c>
      <c r="B53" s="3">
        <v>1000000</v>
      </c>
      <c r="C53" s="11">
        <v>6</v>
      </c>
      <c r="D53" s="11">
        <f t="shared" si="0"/>
        <v>1205</v>
      </c>
      <c r="E53" s="11">
        <f t="shared" si="1"/>
        <v>1</v>
      </c>
      <c r="F53" s="11">
        <f t="shared" si="2"/>
        <v>1204000000</v>
      </c>
      <c r="G53" s="11"/>
    </row>
    <row r="54" spans="1:7">
      <c r="A54" s="11" t="s">
        <v>359</v>
      </c>
      <c r="B54" s="3">
        <v>-21000</v>
      </c>
      <c r="C54" s="11">
        <v>1</v>
      </c>
      <c r="D54" s="11">
        <f t="shared" si="0"/>
        <v>1199</v>
      </c>
      <c r="E54" s="11">
        <f t="shared" si="1"/>
        <v>0</v>
      </c>
      <c r="F54" s="11">
        <f t="shared" si="2"/>
        <v>-25179000</v>
      </c>
      <c r="G54" s="11"/>
    </row>
    <row r="55" spans="1:7">
      <c r="A55" s="11" t="s">
        <v>131</v>
      </c>
      <c r="B55" s="3">
        <v>-980500</v>
      </c>
      <c r="C55" s="11">
        <v>0</v>
      </c>
      <c r="D55" s="11">
        <f t="shared" si="0"/>
        <v>1198</v>
      </c>
      <c r="E55" s="11">
        <f t="shared" si="1"/>
        <v>0</v>
      </c>
      <c r="F55" s="11">
        <f t="shared" si="2"/>
        <v>-1174639000</v>
      </c>
      <c r="G55" s="11"/>
    </row>
    <row r="56" spans="1:7">
      <c r="A56" s="11" t="s">
        <v>131</v>
      </c>
      <c r="B56" s="3">
        <v>-45000</v>
      </c>
      <c r="C56" s="11">
        <v>13</v>
      </c>
      <c r="D56" s="11">
        <f t="shared" si="0"/>
        <v>1198</v>
      </c>
      <c r="E56" s="11">
        <f t="shared" si="1"/>
        <v>0</v>
      </c>
      <c r="F56" s="11">
        <f t="shared" si="2"/>
        <v>-53910000</v>
      </c>
      <c r="G56" s="11"/>
    </row>
    <row r="57" spans="1:7">
      <c r="A57" s="11" t="s">
        <v>358</v>
      </c>
      <c r="B57" s="3">
        <v>3005189</v>
      </c>
      <c r="C57" s="11">
        <v>0</v>
      </c>
      <c r="D57" s="11">
        <f t="shared" si="0"/>
        <v>1185</v>
      </c>
      <c r="E57" s="11">
        <f t="shared" si="1"/>
        <v>1</v>
      </c>
      <c r="F57" s="11">
        <f t="shared" si="2"/>
        <v>3558143776</v>
      </c>
      <c r="G57" s="11" t="s">
        <v>397</v>
      </c>
    </row>
    <row r="58" spans="1:7">
      <c r="A58" s="11" t="s">
        <v>358</v>
      </c>
      <c r="B58" s="3">
        <v>2000000</v>
      </c>
      <c r="C58" s="11">
        <v>1</v>
      </c>
      <c r="D58" s="11">
        <f t="shared" si="0"/>
        <v>1185</v>
      </c>
      <c r="E58" s="11">
        <f t="shared" si="1"/>
        <v>1</v>
      </c>
      <c r="F58" s="11">
        <f t="shared" si="2"/>
        <v>2368000000</v>
      </c>
      <c r="G58" s="11"/>
    </row>
    <row r="59" spans="1:7">
      <c r="A59" s="11" t="s">
        <v>143</v>
      </c>
      <c r="B59" s="3">
        <v>2000000</v>
      </c>
      <c r="C59" s="11">
        <v>0</v>
      </c>
      <c r="D59" s="11">
        <f t="shared" si="0"/>
        <v>1184</v>
      </c>
      <c r="E59" s="11">
        <f t="shared" si="1"/>
        <v>1</v>
      </c>
      <c r="F59" s="11">
        <f t="shared" si="2"/>
        <v>2366000000</v>
      </c>
      <c r="G59" s="11"/>
    </row>
    <row r="60" spans="1:7">
      <c r="A60" s="11" t="s">
        <v>143</v>
      </c>
      <c r="B60" s="3">
        <v>-7001500</v>
      </c>
      <c r="C60" s="11">
        <v>24</v>
      </c>
      <c r="D60" s="11">
        <f t="shared" si="0"/>
        <v>1184</v>
      </c>
      <c r="E60" s="11">
        <f t="shared" si="1"/>
        <v>0</v>
      </c>
      <c r="F60" s="11">
        <f t="shared" si="2"/>
        <v>-8289776000</v>
      </c>
      <c r="G60" s="11"/>
    </row>
    <row r="61" spans="1:7">
      <c r="A61" s="11" t="s">
        <v>357</v>
      </c>
      <c r="B61" s="3">
        <v>3000000</v>
      </c>
      <c r="C61" s="11">
        <v>1</v>
      </c>
      <c r="D61" s="11">
        <f t="shared" si="0"/>
        <v>1160</v>
      </c>
      <c r="E61" s="11">
        <f t="shared" si="1"/>
        <v>1</v>
      </c>
      <c r="F61" s="11">
        <f t="shared" si="2"/>
        <v>3477000000</v>
      </c>
      <c r="G61" s="11"/>
    </row>
    <row r="62" spans="1:7">
      <c r="A62" s="11" t="s">
        <v>356</v>
      </c>
      <c r="B62" s="3">
        <v>-27109</v>
      </c>
      <c r="C62" s="11">
        <v>0</v>
      </c>
      <c r="D62" s="11">
        <f t="shared" si="0"/>
        <v>1159</v>
      </c>
      <c r="E62" s="11">
        <f t="shared" si="1"/>
        <v>0</v>
      </c>
      <c r="F62" s="11">
        <f t="shared" si="2"/>
        <v>-31419331</v>
      </c>
      <c r="G62" s="11"/>
    </row>
    <row r="63" spans="1:7">
      <c r="A63" s="11" t="s">
        <v>356</v>
      </c>
      <c r="B63" s="3">
        <v>-32989</v>
      </c>
      <c r="C63" s="11">
        <v>0</v>
      </c>
      <c r="D63" s="11">
        <f t="shared" si="0"/>
        <v>1159</v>
      </c>
      <c r="E63" s="11">
        <f t="shared" si="1"/>
        <v>0</v>
      </c>
      <c r="F63" s="11">
        <f t="shared" si="2"/>
        <v>-38234251</v>
      </c>
      <c r="G63" s="11"/>
    </row>
    <row r="64" spans="1:7">
      <c r="A64" s="11" t="s">
        <v>356</v>
      </c>
      <c r="B64" s="3">
        <v>3000000</v>
      </c>
      <c r="C64" s="11">
        <v>0</v>
      </c>
      <c r="D64" s="11">
        <f t="shared" si="0"/>
        <v>1159</v>
      </c>
      <c r="E64" s="11">
        <f t="shared" si="1"/>
        <v>1</v>
      </c>
      <c r="F64" s="11">
        <f t="shared" si="2"/>
        <v>3474000000</v>
      </c>
      <c r="G64" s="11"/>
    </row>
    <row r="65" spans="1:7">
      <c r="A65" s="11" t="s">
        <v>356</v>
      </c>
      <c r="B65" s="3">
        <v>2970000</v>
      </c>
      <c r="C65" s="11">
        <v>0</v>
      </c>
      <c r="D65" s="11">
        <f t="shared" si="0"/>
        <v>1159</v>
      </c>
      <c r="E65" s="11">
        <f t="shared" si="1"/>
        <v>1</v>
      </c>
      <c r="F65" s="11">
        <f t="shared" si="2"/>
        <v>3439260000</v>
      </c>
      <c r="G65" s="11"/>
    </row>
    <row r="66" spans="1:7">
      <c r="A66" s="11" t="s">
        <v>356</v>
      </c>
      <c r="B66" s="3">
        <v>1000000</v>
      </c>
      <c r="C66" s="11">
        <v>0</v>
      </c>
      <c r="D66" s="11">
        <f t="shared" ref="D66:D129" si="3">D67+C66</f>
        <v>1159</v>
      </c>
      <c r="E66" s="11">
        <f t="shared" si="1"/>
        <v>1</v>
      </c>
      <c r="F66" s="11">
        <f t="shared" si="2"/>
        <v>1158000000</v>
      </c>
      <c r="G66" s="11"/>
    </row>
    <row r="67" spans="1:7">
      <c r="A67" s="11" t="s">
        <v>356</v>
      </c>
      <c r="B67" s="3">
        <v>30000</v>
      </c>
      <c r="C67" s="11">
        <v>1</v>
      </c>
      <c r="D67" s="11">
        <f t="shared" si="3"/>
        <v>1159</v>
      </c>
      <c r="E67" s="11">
        <f t="shared" ref="E67:E130" si="4">IF(B67&gt;0,1,0)</f>
        <v>1</v>
      </c>
      <c r="F67" s="11">
        <f t="shared" ref="F67:F249" si="5">B67*(D67-E67)</f>
        <v>34740000</v>
      </c>
      <c r="G67" s="11"/>
    </row>
    <row r="68" spans="1:7">
      <c r="A68" s="11" t="s">
        <v>355</v>
      </c>
      <c r="B68" s="3">
        <v>30000000</v>
      </c>
      <c r="C68" s="11">
        <v>1</v>
      </c>
      <c r="D68" s="11">
        <f t="shared" si="3"/>
        <v>1158</v>
      </c>
      <c r="E68" s="11">
        <f t="shared" si="4"/>
        <v>1</v>
      </c>
      <c r="F68" s="11">
        <f t="shared" si="5"/>
        <v>34710000000</v>
      </c>
      <c r="G68" s="11"/>
    </row>
    <row r="69" spans="1:7">
      <c r="A69" s="11" t="s">
        <v>196</v>
      </c>
      <c r="B69" s="3">
        <v>-200000</v>
      </c>
      <c r="C69" s="11">
        <v>0</v>
      </c>
      <c r="D69" s="11">
        <f t="shared" si="3"/>
        <v>1157</v>
      </c>
      <c r="E69" s="11">
        <f t="shared" si="4"/>
        <v>0</v>
      </c>
      <c r="F69" s="11">
        <f t="shared" si="5"/>
        <v>-231400000</v>
      </c>
      <c r="G69" s="11"/>
    </row>
    <row r="70" spans="1:7">
      <c r="A70" s="11" t="s">
        <v>354</v>
      </c>
      <c r="B70" s="3">
        <v>1400000</v>
      </c>
      <c r="C70" s="11">
        <v>0</v>
      </c>
      <c r="D70" s="11">
        <f t="shared" si="3"/>
        <v>1157</v>
      </c>
      <c r="E70" s="11">
        <f t="shared" si="4"/>
        <v>1</v>
      </c>
      <c r="F70" s="11">
        <f t="shared" si="5"/>
        <v>1618400000</v>
      </c>
      <c r="G70" s="11"/>
    </row>
    <row r="71" spans="1:7">
      <c r="A71" s="11" t="s">
        <v>354</v>
      </c>
      <c r="B71" s="3">
        <v>2600000</v>
      </c>
      <c r="C71" s="11">
        <v>0</v>
      </c>
      <c r="D71" s="11">
        <f t="shared" si="3"/>
        <v>1157</v>
      </c>
      <c r="E71" s="11">
        <f t="shared" si="4"/>
        <v>1</v>
      </c>
      <c r="F71" s="11">
        <f t="shared" si="5"/>
        <v>3005600000</v>
      </c>
      <c r="G71" s="11"/>
    </row>
    <row r="72" spans="1:7">
      <c r="A72" s="11" t="s">
        <v>354</v>
      </c>
      <c r="B72" s="3">
        <v>-1000000</v>
      </c>
      <c r="C72" s="11">
        <v>2</v>
      </c>
      <c r="D72" s="11">
        <f t="shared" si="3"/>
        <v>1157</v>
      </c>
      <c r="E72" s="11">
        <f t="shared" si="4"/>
        <v>0</v>
      </c>
      <c r="F72" s="11">
        <f t="shared" si="5"/>
        <v>-1157000000</v>
      </c>
      <c r="G72" s="11"/>
    </row>
    <row r="73" spans="1:7">
      <c r="A73" s="11" t="s">
        <v>353</v>
      </c>
      <c r="B73" s="3">
        <v>15000000</v>
      </c>
      <c r="C73" s="11">
        <v>5</v>
      </c>
      <c r="D73" s="11">
        <f t="shared" si="3"/>
        <v>1155</v>
      </c>
      <c r="E73" s="11">
        <f t="shared" si="4"/>
        <v>1</v>
      </c>
      <c r="F73" s="11">
        <f t="shared" si="5"/>
        <v>17310000000</v>
      </c>
      <c r="G73" s="11"/>
    </row>
    <row r="74" spans="1:7">
      <c r="A74" s="23" t="s">
        <v>277</v>
      </c>
      <c r="B74" s="3">
        <v>-15004200</v>
      </c>
      <c r="C74" s="11">
        <v>2</v>
      </c>
      <c r="D74" s="11">
        <f t="shared" si="3"/>
        <v>1150</v>
      </c>
      <c r="E74" s="11">
        <f t="shared" si="4"/>
        <v>0</v>
      </c>
      <c r="F74" s="11">
        <f t="shared" si="5"/>
        <v>-17254830000</v>
      </c>
      <c r="G74" s="11"/>
    </row>
    <row r="75" spans="1:7">
      <c r="A75" s="11" t="s">
        <v>275</v>
      </c>
      <c r="B75" s="3">
        <v>-3000000</v>
      </c>
      <c r="C75" s="11">
        <v>0</v>
      </c>
      <c r="D75" s="11">
        <f t="shared" si="3"/>
        <v>1148</v>
      </c>
      <c r="E75" s="11">
        <f t="shared" si="4"/>
        <v>0</v>
      </c>
      <c r="F75" s="11">
        <f t="shared" si="5"/>
        <v>-3444000000</v>
      </c>
      <c r="G75" s="11"/>
    </row>
    <row r="76" spans="1:7">
      <c r="A76" s="11" t="s">
        <v>275</v>
      </c>
      <c r="B76" s="3">
        <v>-200000</v>
      </c>
      <c r="C76" s="11">
        <v>0</v>
      </c>
      <c r="D76" s="11">
        <f t="shared" si="3"/>
        <v>1148</v>
      </c>
      <c r="E76" s="11">
        <f t="shared" si="4"/>
        <v>0</v>
      </c>
      <c r="F76" s="11">
        <f t="shared" si="5"/>
        <v>-229600000</v>
      </c>
      <c r="G76" s="11"/>
    </row>
    <row r="77" spans="1:7">
      <c r="A77" s="23" t="s">
        <v>275</v>
      </c>
      <c r="B77" s="3">
        <v>-12003000</v>
      </c>
      <c r="C77" s="11">
        <v>4</v>
      </c>
      <c r="D77" s="11">
        <f t="shared" si="3"/>
        <v>1148</v>
      </c>
      <c r="E77" s="11">
        <f t="shared" si="4"/>
        <v>0</v>
      </c>
      <c r="F77" s="11">
        <f t="shared" si="5"/>
        <v>-13779444000</v>
      </c>
      <c r="G77" s="11"/>
    </row>
    <row r="78" spans="1:7">
      <c r="A78" s="23" t="s">
        <v>228</v>
      </c>
      <c r="B78" s="3">
        <v>-3000900</v>
      </c>
      <c r="C78" s="11">
        <v>5</v>
      </c>
      <c r="D78" s="11">
        <f t="shared" si="3"/>
        <v>1144</v>
      </c>
      <c r="E78" s="11">
        <f t="shared" si="4"/>
        <v>0</v>
      </c>
      <c r="F78" s="11">
        <f t="shared" si="5"/>
        <v>-3433029600</v>
      </c>
      <c r="G78" s="11"/>
    </row>
    <row r="79" spans="1:7">
      <c r="A79" s="11" t="s">
        <v>352</v>
      </c>
      <c r="B79" s="3">
        <v>23000000</v>
      </c>
      <c r="C79" s="11">
        <v>5</v>
      </c>
      <c r="D79" s="11">
        <f t="shared" si="3"/>
        <v>1139</v>
      </c>
      <c r="E79" s="11">
        <f t="shared" si="4"/>
        <v>1</v>
      </c>
      <c r="F79" s="11">
        <f t="shared" si="5"/>
        <v>26174000000</v>
      </c>
      <c r="G79" s="11"/>
    </row>
    <row r="80" spans="1:7">
      <c r="A80" s="23" t="s">
        <v>237</v>
      </c>
      <c r="B80" s="3">
        <v>-600500</v>
      </c>
      <c r="C80" s="11">
        <v>0</v>
      </c>
      <c r="D80" s="11">
        <f t="shared" si="3"/>
        <v>1134</v>
      </c>
      <c r="E80" s="11">
        <f t="shared" si="4"/>
        <v>0</v>
      </c>
      <c r="F80" s="11">
        <f t="shared" si="5"/>
        <v>-680967000</v>
      </c>
      <c r="G80" s="11"/>
    </row>
    <row r="81" spans="1:10">
      <c r="A81" s="20" t="s">
        <v>237</v>
      </c>
      <c r="B81" s="3">
        <v>-200000</v>
      </c>
      <c r="C81" s="11">
        <v>1</v>
      </c>
      <c r="D81" s="11">
        <f t="shared" si="3"/>
        <v>1134</v>
      </c>
      <c r="E81" s="11">
        <f t="shared" si="4"/>
        <v>0</v>
      </c>
      <c r="F81" s="11">
        <f t="shared" si="5"/>
        <v>-226800000</v>
      </c>
      <c r="G81" s="11"/>
    </row>
    <row r="82" spans="1:10">
      <c r="A82" s="11" t="s">
        <v>241</v>
      </c>
      <c r="B82" s="3">
        <v>283221</v>
      </c>
      <c r="C82" s="11">
        <v>0</v>
      </c>
      <c r="D82" s="11">
        <f t="shared" si="3"/>
        <v>1133</v>
      </c>
      <c r="E82" s="11">
        <f t="shared" si="4"/>
        <v>1</v>
      </c>
      <c r="F82" s="11">
        <f t="shared" si="5"/>
        <v>320606172</v>
      </c>
      <c r="G82" s="11" t="s">
        <v>242</v>
      </c>
    </row>
    <row r="83" spans="1:10">
      <c r="A83" s="11" t="s">
        <v>241</v>
      </c>
      <c r="B83" s="3">
        <v>-200000</v>
      </c>
      <c r="C83" s="11">
        <v>2</v>
      </c>
      <c r="D83" s="11">
        <f t="shared" si="3"/>
        <v>1133</v>
      </c>
      <c r="E83" s="11">
        <f t="shared" si="4"/>
        <v>0</v>
      </c>
      <c r="F83" s="11">
        <f t="shared" si="5"/>
        <v>-226600000</v>
      </c>
      <c r="G83" s="11"/>
    </row>
    <row r="84" spans="1:10">
      <c r="A84" s="11" t="s">
        <v>351</v>
      </c>
      <c r="B84" s="3">
        <v>2000000</v>
      </c>
      <c r="C84" s="11">
        <v>3</v>
      </c>
      <c r="D84" s="11">
        <f t="shared" si="3"/>
        <v>1131</v>
      </c>
      <c r="E84" s="11">
        <f t="shared" si="4"/>
        <v>1</v>
      </c>
      <c r="F84" s="11">
        <f t="shared" si="5"/>
        <v>2260000000</v>
      </c>
      <c r="G84" s="11"/>
    </row>
    <row r="85" spans="1:10">
      <c r="A85" s="11" t="s">
        <v>245</v>
      </c>
      <c r="B85" s="3">
        <v>-200000</v>
      </c>
      <c r="C85" s="11">
        <v>6</v>
      </c>
      <c r="D85" s="11">
        <f t="shared" si="3"/>
        <v>1128</v>
      </c>
      <c r="E85" s="11">
        <f t="shared" si="4"/>
        <v>0</v>
      </c>
      <c r="F85" s="11">
        <f t="shared" si="5"/>
        <v>-225600000</v>
      </c>
      <c r="G85" s="11"/>
    </row>
    <row r="86" spans="1:10">
      <c r="A86" s="11" t="s">
        <v>350</v>
      </c>
      <c r="B86" s="3">
        <v>-200000</v>
      </c>
      <c r="C86" s="11">
        <v>2</v>
      </c>
      <c r="D86" s="11">
        <f t="shared" si="3"/>
        <v>1122</v>
      </c>
      <c r="E86" s="11">
        <f t="shared" si="4"/>
        <v>0</v>
      </c>
      <c r="F86" s="11">
        <f t="shared" si="5"/>
        <v>-224400000</v>
      </c>
      <c r="G86" s="11"/>
    </row>
    <row r="87" spans="1:10">
      <c r="A87" s="11" t="s">
        <v>250</v>
      </c>
      <c r="B87" s="3">
        <v>-1325000</v>
      </c>
      <c r="C87" s="11">
        <v>15</v>
      </c>
      <c r="D87" s="11">
        <f t="shared" si="3"/>
        <v>1120</v>
      </c>
      <c r="E87" s="11">
        <f t="shared" si="4"/>
        <v>0</v>
      </c>
      <c r="F87" s="11">
        <f t="shared" si="5"/>
        <v>-1484000000</v>
      </c>
      <c r="G87" s="11"/>
    </row>
    <row r="88" spans="1:10">
      <c r="A88" s="11" t="s">
        <v>349</v>
      </c>
      <c r="B88" s="3">
        <v>-500000</v>
      </c>
      <c r="C88" s="11">
        <v>0</v>
      </c>
      <c r="D88" s="11">
        <f t="shared" si="3"/>
        <v>1105</v>
      </c>
      <c r="E88" s="11">
        <f t="shared" si="4"/>
        <v>0</v>
      </c>
      <c r="F88" s="11">
        <f t="shared" si="5"/>
        <v>-552500000</v>
      </c>
      <c r="G88" s="11"/>
    </row>
    <row r="89" spans="1:10">
      <c r="A89" s="11" t="s">
        <v>348</v>
      </c>
      <c r="B89" s="3">
        <v>-120000</v>
      </c>
      <c r="C89" s="11">
        <v>2</v>
      </c>
      <c r="D89" s="11">
        <f t="shared" si="3"/>
        <v>1105</v>
      </c>
      <c r="E89" s="11">
        <f t="shared" si="4"/>
        <v>0</v>
      </c>
      <c r="F89" s="11">
        <f t="shared" si="5"/>
        <v>-132600000</v>
      </c>
      <c r="G89" s="11"/>
    </row>
    <row r="90" spans="1:10">
      <c r="A90" s="11" t="s">
        <v>262</v>
      </c>
      <c r="B90" s="3">
        <v>428205</v>
      </c>
      <c r="C90" s="11">
        <v>3</v>
      </c>
      <c r="D90" s="11">
        <f t="shared" si="3"/>
        <v>1103</v>
      </c>
      <c r="E90" s="11">
        <f t="shared" si="4"/>
        <v>1</v>
      </c>
      <c r="F90" s="11">
        <f t="shared" si="5"/>
        <v>471881910</v>
      </c>
      <c r="G90" s="11" t="s">
        <v>264</v>
      </c>
    </row>
    <row r="91" spans="1:10">
      <c r="A91" s="23" t="s">
        <v>263</v>
      </c>
      <c r="B91" s="3">
        <v>-3002000</v>
      </c>
      <c r="C91" s="11">
        <v>2</v>
      </c>
      <c r="D91" s="11">
        <f t="shared" si="3"/>
        <v>1100</v>
      </c>
      <c r="E91" s="11">
        <f t="shared" si="4"/>
        <v>0</v>
      </c>
      <c r="F91" s="11">
        <f t="shared" si="5"/>
        <v>-3302200000</v>
      </c>
      <c r="G91" s="11" t="s">
        <v>337</v>
      </c>
    </row>
    <row r="92" spans="1:10">
      <c r="A92" s="23" t="s">
        <v>336</v>
      </c>
      <c r="B92" s="3">
        <v>-205000</v>
      </c>
      <c r="C92" s="11">
        <v>0</v>
      </c>
      <c r="D92" s="11">
        <f t="shared" si="3"/>
        <v>1098</v>
      </c>
      <c r="E92" s="11">
        <f t="shared" si="4"/>
        <v>0</v>
      </c>
      <c r="F92" s="11">
        <f t="shared" si="5"/>
        <v>-225090000</v>
      </c>
      <c r="G92" s="11" t="s">
        <v>338</v>
      </c>
    </row>
    <row r="93" spans="1:10">
      <c r="A93" s="11" t="s">
        <v>334</v>
      </c>
      <c r="B93" s="3">
        <v>-350500</v>
      </c>
      <c r="C93" s="11">
        <v>11</v>
      </c>
      <c r="D93" s="11">
        <f t="shared" si="3"/>
        <v>1098</v>
      </c>
      <c r="E93" s="11">
        <f t="shared" si="4"/>
        <v>0</v>
      </c>
      <c r="F93" s="11">
        <f t="shared" si="5"/>
        <v>-384849000</v>
      </c>
      <c r="G93" s="11" t="s">
        <v>335</v>
      </c>
    </row>
    <row r="94" spans="1:10">
      <c r="A94" s="11" t="s">
        <v>332</v>
      </c>
      <c r="B94" s="3">
        <v>1000000</v>
      </c>
      <c r="C94" s="11">
        <v>5</v>
      </c>
      <c r="D94" s="11">
        <f t="shared" si="3"/>
        <v>1087</v>
      </c>
      <c r="E94" s="11">
        <f t="shared" si="4"/>
        <v>1</v>
      </c>
      <c r="F94" s="11">
        <f t="shared" si="5"/>
        <v>1086000000</v>
      </c>
      <c r="G94" s="11" t="s">
        <v>333</v>
      </c>
    </row>
    <row r="95" spans="1:10">
      <c r="A95" s="11" t="s">
        <v>343</v>
      </c>
      <c r="B95" s="3">
        <v>9000000</v>
      </c>
      <c r="C95" s="11">
        <v>2</v>
      </c>
      <c r="D95" s="11">
        <f t="shared" si="3"/>
        <v>1082</v>
      </c>
      <c r="E95" s="11">
        <f t="shared" si="4"/>
        <v>1</v>
      </c>
      <c r="F95" s="11">
        <f t="shared" si="5"/>
        <v>9729000000</v>
      </c>
      <c r="G95" s="11" t="s">
        <v>345</v>
      </c>
      <c r="J95" s="26"/>
    </row>
    <row r="96" spans="1:10">
      <c r="A96" s="11" t="s">
        <v>346</v>
      </c>
      <c r="B96" s="3">
        <v>-26000000</v>
      </c>
      <c r="C96" s="11">
        <v>0</v>
      </c>
      <c r="D96" s="11">
        <f t="shared" si="3"/>
        <v>1080</v>
      </c>
      <c r="E96" s="11">
        <f t="shared" si="4"/>
        <v>0</v>
      </c>
      <c r="F96" s="11">
        <f t="shared" si="5"/>
        <v>-28080000000</v>
      </c>
      <c r="G96" s="11" t="s">
        <v>347</v>
      </c>
    </row>
    <row r="97" spans="1:9">
      <c r="A97" s="11" t="s">
        <v>346</v>
      </c>
      <c r="B97" s="3">
        <v>-26000000</v>
      </c>
      <c r="C97" s="11">
        <v>0</v>
      </c>
      <c r="D97" s="11">
        <f t="shared" si="3"/>
        <v>1080</v>
      </c>
      <c r="E97" s="11">
        <f t="shared" si="4"/>
        <v>0</v>
      </c>
      <c r="F97" s="11">
        <f t="shared" si="5"/>
        <v>-28080000000</v>
      </c>
      <c r="G97" s="11"/>
    </row>
    <row r="98" spans="1:9">
      <c r="A98" s="11" t="s">
        <v>346</v>
      </c>
      <c r="B98" s="3">
        <v>26000000</v>
      </c>
      <c r="C98" s="11">
        <v>0</v>
      </c>
      <c r="D98" s="11">
        <f t="shared" si="3"/>
        <v>1080</v>
      </c>
      <c r="E98" s="11">
        <f t="shared" si="4"/>
        <v>1</v>
      </c>
      <c r="F98" s="11">
        <f t="shared" si="5"/>
        <v>28054000000</v>
      </c>
      <c r="G98" s="11"/>
    </row>
    <row r="99" spans="1:9">
      <c r="A99" s="11" t="s">
        <v>346</v>
      </c>
      <c r="B99" s="3">
        <v>-200000</v>
      </c>
      <c r="C99" s="11">
        <v>2</v>
      </c>
      <c r="D99" s="11">
        <f t="shared" si="3"/>
        <v>1080</v>
      </c>
      <c r="E99" s="11">
        <f t="shared" si="4"/>
        <v>0</v>
      </c>
      <c r="F99" s="11">
        <f t="shared" si="5"/>
        <v>-216000000</v>
      </c>
      <c r="G99" s="11"/>
      <c r="I99" t="s">
        <v>25</v>
      </c>
    </row>
    <row r="100" spans="1:9">
      <c r="A100" s="11" t="s">
        <v>398</v>
      </c>
      <c r="B100" s="3">
        <v>29200000</v>
      </c>
      <c r="C100" s="11">
        <v>5</v>
      </c>
      <c r="D100" s="11">
        <f t="shared" si="3"/>
        <v>1078</v>
      </c>
      <c r="E100" s="11">
        <f t="shared" si="4"/>
        <v>1</v>
      </c>
      <c r="F100" s="11">
        <f t="shared" si="5"/>
        <v>31448400000</v>
      </c>
      <c r="G100" s="11"/>
    </row>
    <row r="101" spans="1:9">
      <c r="A101" s="11" t="s">
        <v>399</v>
      </c>
      <c r="B101" s="3">
        <v>399945</v>
      </c>
      <c r="C101" s="11">
        <v>1</v>
      </c>
      <c r="D101" s="11">
        <f t="shared" si="3"/>
        <v>1073</v>
      </c>
      <c r="E101" s="11">
        <f t="shared" si="4"/>
        <v>1</v>
      </c>
      <c r="F101" s="11">
        <f t="shared" si="5"/>
        <v>428741040</v>
      </c>
      <c r="G101" s="11" t="s">
        <v>400</v>
      </c>
    </row>
    <row r="102" spans="1:9">
      <c r="A102" s="11" t="s">
        <v>401</v>
      </c>
      <c r="B102" s="3">
        <v>2000000</v>
      </c>
      <c r="C102" s="11">
        <v>1</v>
      </c>
      <c r="D102" s="11">
        <f t="shared" si="3"/>
        <v>1072</v>
      </c>
      <c r="E102" s="11">
        <f t="shared" si="4"/>
        <v>1</v>
      </c>
      <c r="F102" s="11">
        <f t="shared" si="5"/>
        <v>2142000000</v>
      </c>
      <c r="G102" s="11" t="s">
        <v>402</v>
      </c>
    </row>
    <row r="103" spans="1:9">
      <c r="A103" s="11" t="s">
        <v>409</v>
      </c>
      <c r="B103" s="3">
        <v>7500000</v>
      </c>
      <c r="C103" s="11">
        <v>0</v>
      </c>
      <c r="D103" s="11">
        <f t="shared" si="3"/>
        <v>1071</v>
      </c>
      <c r="E103" s="11">
        <f t="shared" si="4"/>
        <v>1</v>
      </c>
      <c r="F103" s="11">
        <f t="shared" si="5"/>
        <v>8025000000</v>
      </c>
      <c r="G103" s="11" t="s">
        <v>410</v>
      </c>
    </row>
    <row r="104" spans="1:9">
      <c r="A104" s="11" t="s">
        <v>409</v>
      </c>
      <c r="B104" s="3">
        <v>-66000000</v>
      </c>
      <c r="C104" s="11">
        <v>0</v>
      </c>
      <c r="D104" s="11">
        <f t="shared" si="3"/>
        <v>1071</v>
      </c>
      <c r="E104" s="11">
        <f t="shared" si="4"/>
        <v>0</v>
      </c>
      <c r="F104" s="11">
        <f t="shared" si="5"/>
        <v>-70686000000</v>
      </c>
      <c r="G104" s="11" t="s">
        <v>424</v>
      </c>
    </row>
    <row r="105" spans="1:9">
      <c r="A105" s="11" t="s">
        <v>409</v>
      </c>
      <c r="B105" s="3">
        <v>-145000</v>
      </c>
      <c r="C105" s="11">
        <v>2</v>
      </c>
      <c r="D105" s="11">
        <f t="shared" si="3"/>
        <v>1071</v>
      </c>
      <c r="E105" s="11">
        <f t="shared" si="4"/>
        <v>0</v>
      </c>
      <c r="F105" s="11">
        <f t="shared" si="5"/>
        <v>-155295000</v>
      </c>
      <c r="G105" s="11" t="s">
        <v>425</v>
      </c>
    </row>
    <row r="106" spans="1:9">
      <c r="A106" s="11" t="s">
        <v>421</v>
      </c>
      <c r="B106" s="3">
        <v>6000000</v>
      </c>
      <c r="C106" s="11">
        <v>2</v>
      </c>
      <c r="D106" s="11">
        <f t="shared" si="3"/>
        <v>1069</v>
      </c>
      <c r="E106" s="11">
        <f t="shared" si="4"/>
        <v>1</v>
      </c>
      <c r="F106" s="11">
        <f t="shared" si="5"/>
        <v>6408000000</v>
      </c>
      <c r="G106" s="11" t="s">
        <v>426</v>
      </c>
    </row>
    <row r="107" spans="1:9">
      <c r="A107" s="11" t="s">
        <v>434</v>
      </c>
      <c r="B107" s="3">
        <v>-6005900</v>
      </c>
      <c r="C107" s="11">
        <v>3</v>
      </c>
      <c r="D107" s="11">
        <f t="shared" si="3"/>
        <v>1067</v>
      </c>
      <c r="E107" s="11">
        <f t="shared" si="4"/>
        <v>0</v>
      </c>
      <c r="F107" s="11">
        <f t="shared" si="5"/>
        <v>-6408295300</v>
      </c>
      <c r="G107" s="11" t="s">
        <v>436</v>
      </c>
    </row>
    <row r="108" spans="1:9">
      <c r="A108" s="11" t="s">
        <v>439</v>
      </c>
      <c r="B108" s="3">
        <v>6000000</v>
      </c>
      <c r="C108" s="11">
        <v>12</v>
      </c>
      <c r="D108" s="11">
        <f t="shared" si="3"/>
        <v>1064</v>
      </c>
      <c r="E108" s="11">
        <f t="shared" si="4"/>
        <v>1</v>
      </c>
      <c r="F108" s="11">
        <f t="shared" si="5"/>
        <v>6378000000</v>
      </c>
      <c r="G108" s="11" t="s">
        <v>444</v>
      </c>
    </row>
    <row r="109" spans="1:9">
      <c r="A109" s="11" t="s">
        <v>458</v>
      </c>
      <c r="B109" s="3">
        <v>-120000</v>
      </c>
      <c r="C109" s="11">
        <v>1</v>
      </c>
      <c r="D109" s="11">
        <f t="shared" si="3"/>
        <v>1052</v>
      </c>
      <c r="E109" s="11">
        <f t="shared" si="4"/>
        <v>0</v>
      </c>
      <c r="F109" s="11">
        <f t="shared" si="5"/>
        <v>-126240000</v>
      </c>
      <c r="G109" s="11" t="s">
        <v>459</v>
      </c>
    </row>
    <row r="110" spans="1:9">
      <c r="A110" s="11" t="s">
        <v>460</v>
      </c>
      <c r="B110" s="3">
        <v>4000000</v>
      </c>
      <c r="C110" s="11">
        <v>1</v>
      </c>
      <c r="D110" s="11">
        <f t="shared" si="3"/>
        <v>1051</v>
      </c>
      <c r="E110" s="11">
        <f t="shared" si="4"/>
        <v>1</v>
      </c>
      <c r="F110" s="11">
        <f t="shared" si="5"/>
        <v>4200000000</v>
      </c>
      <c r="G110" s="11" t="s">
        <v>461</v>
      </c>
    </row>
    <row r="111" spans="1:9">
      <c r="A111" s="11" t="s">
        <v>465</v>
      </c>
      <c r="B111" s="3">
        <v>2800000</v>
      </c>
      <c r="C111" s="11">
        <v>4</v>
      </c>
      <c r="D111" s="11">
        <f t="shared" si="3"/>
        <v>1050</v>
      </c>
      <c r="E111" s="11">
        <f t="shared" si="4"/>
        <v>1</v>
      </c>
      <c r="F111" s="11">
        <f t="shared" si="5"/>
        <v>2937200000</v>
      </c>
      <c r="G111" s="11" t="s">
        <v>466</v>
      </c>
    </row>
    <row r="112" spans="1:9">
      <c r="A112" s="11" t="s">
        <v>470</v>
      </c>
      <c r="B112" s="3">
        <v>-200000</v>
      </c>
      <c r="C112" s="11">
        <v>1</v>
      </c>
      <c r="D112" s="11">
        <f t="shared" si="3"/>
        <v>1046</v>
      </c>
      <c r="E112" s="11">
        <f t="shared" si="4"/>
        <v>0</v>
      </c>
      <c r="F112" s="11">
        <f t="shared" si="5"/>
        <v>-209200000</v>
      </c>
      <c r="G112" s="11" t="s">
        <v>472</v>
      </c>
    </row>
    <row r="113" spans="1:10">
      <c r="A113" s="11" t="s">
        <v>471</v>
      </c>
      <c r="B113" s="3">
        <v>72310</v>
      </c>
      <c r="C113" s="11">
        <v>17</v>
      </c>
      <c r="D113" s="11">
        <f t="shared" si="3"/>
        <v>1045</v>
      </c>
      <c r="E113" s="11">
        <f t="shared" si="4"/>
        <v>1</v>
      </c>
      <c r="F113" s="11">
        <f t="shared" si="5"/>
        <v>75491640</v>
      </c>
      <c r="G113" s="11" t="s">
        <v>498</v>
      </c>
    </row>
    <row r="114" spans="1:10">
      <c r="A114" s="11" t="s">
        <v>494</v>
      </c>
      <c r="B114" s="3">
        <v>-200000</v>
      </c>
      <c r="C114" s="11">
        <v>1</v>
      </c>
      <c r="D114" s="11">
        <f t="shared" si="3"/>
        <v>1028</v>
      </c>
      <c r="E114" s="11">
        <f t="shared" si="4"/>
        <v>0</v>
      </c>
      <c r="F114" s="11">
        <f t="shared" si="5"/>
        <v>-205600000</v>
      </c>
      <c r="G114" s="11" t="s">
        <v>459</v>
      </c>
      <c r="J114" t="s">
        <v>25</v>
      </c>
    </row>
    <row r="115" spans="1:10">
      <c r="A115" s="23" t="s">
        <v>495</v>
      </c>
      <c r="B115" s="35">
        <v>-11000000</v>
      </c>
      <c r="C115" s="23">
        <v>0</v>
      </c>
      <c r="D115" s="11">
        <f t="shared" si="3"/>
        <v>1027</v>
      </c>
      <c r="E115" s="11">
        <f t="shared" si="4"/>
        <v>0</v>
      </c>
      <c r="F115" s="23">
        <f t="shared" si="5"/>
        <v>-11297000000</v>
      </c>
      <c r="G115" s="23" t="s">
        <v>499</v>
      </c>
    </row>
    <row r="116" spans="1:10">
      <c r="A116" s="11" t="s">
        <v>495</v>
      </c>
      <c r="B116" s="3">
        <v>-200000</v>
      </c>
      <c r="C116" s="11">
        <v>2</v>
      </c>
      <c r="D116" s="11">
        <f t="shared" si="3"/>
        <v>1027</v>
      </c>
      <c r="E116" s="11">
        <f t="shared" si="4"/>
        <v>0</v>
      </c>
      <c r="F116" s="11">
        <f t="shared" si="5"/>
        <v>-205400000</v>
      </c>
      <c r="G116" s="11" t="s">
        <v>459</v>
      </c>
      <c r="I116" t="s">
        <v>25</v>
      </c>
    </row>
    <row r="117" spans="1:10">
      <c r="A117" s="11" t="s">
        <v>500</v>
      </c>
      <c r="B117" s="3">
        <v>-450500</v>
      </c>
      <c r="C117" s="11">
        <v>0</v>
      </c>
      <c r="D117" s="11">
        <f t="shared" si="3"/>
        <v>1025</v>
      </c>
      <c r="E117" s="11">
        <f t="shared" si="4"/>
        <v>0</v>
      </c>
      <c r="F117" s="11">
        <f t="shared" si="5"/>
        <v>-461762500</v>
      </c>
      <c r="G117" s="11" t="s">
        <v>501</v>
      </c>
    </row>
    <row r="118" spans="1:10">
      <c r="A118" s="11" t="s">
        <v>500</v>
      </c>
      <c r="B118" s="3">
        <v>-200000</v>
      </c>
      <c r="C118" s="11">
        <v>6</v>
      </c>
      <c r="D118" s="11">
        <f t="shared" si="3"/>
        <v>1025</v>
      </c>
      <c r="E118" s="11">
        <f t="shared" si="4"/>
        <v>0</v>
      </c>
      <c r="F118" s="11">
        <f t="shared" si="5"/>
        <v>-205000000</v>
      </c>
      <c r="G118" s="11" t="s">
        <v>502</v>
      </c>
      <c r="J118" t="s">
        <v>25</v>
      </c>
    </row>
    <row r="119" spans="1:10">
      <c r="A119" s="11" t="s">
        <v>504</v>
      </c>
      <c r="B119" s="3">
        <v>-154550</v>
      </c>
      <c r="C119" s="11">
        <v>0</v>
      </c>
      <c r="D119" s="11">
        <f t="shared" si="3"/>
        <v>1019</v>
      </c>
      <c r="E119" s="11">
        <f t="shared" si="4"/>
        <v>0</v>
      </c>
      <c r="F119" s="11">
        <f t="shared" si="5"/>
        <v>-157486450</v>
      </c>
      <c r="G119" s="11" t="s">
        <v>505</v>
      </c>
    </row>
    <row r="120" spans="1:10">
      <c r="A120" s="11" t="s">
        <v>504</v>
      </c>
      <c r="B120" s="3">
        <v>-320</v>
      </c>
      <c r="C120" s="11">
        <v>1</v>
      </c>
      <c r="D120" s="11">
        <f t="shared" si="3"/>
        <v>1019</v>
      </c>
      <c r="E120" s="11">
        <f t="shared" si="4"/>
        <v>0</v>
      </c>
      <c r="F120" s="11">
        <f t="shared" si="5"/>
        <v>-326080</v>
      </c>
      <c r="G120" s="11" t="s">
        <v>506</v>
      </c>
    </row>
    <row r="121" spans="1:10">
      <c r="A121" s="11" t="s">
        <v>507</v>
      </c>
      <c r="B121" s="3">
        <v>-432000</v>
      </c>
      <c r="C121" s="11">
        <v>6</v>
      </c>
      <c r="D121" s="11">
        <f t="shared" si="3"/>
        <v>1018</v>
      </c>
      <c r="E121" s="11">
        <f t="shared" si="4"/>
        <v>0</v>
      </c>
      <c r="F121" s="11">
        <f t="shared" si="5"/>
        <v>-439776000</v>
      </c>
      <c r="G121" s="11" t="s">
        <v>508</v>
      </c>
    </row>
    <row r="122" spans="1:10">
      <c r="A122" s="11" t="s">
        <v>509</v>
      </c>
      <c r="B122" s="3">
        <v>74043</v>
      </c>
      <c r="C122" s="11">
        <v>21</v>
      </c>
      <c r="D122" s="11">
        <f t="shared" si="3"/>
        <v>1012</v>
      </c>
      <c r="E122" s="11">
        <f t="shared" si="4"/>
        <v>1</v>
      </c>
      <c r="F122" s="11">
        <f t="shared" si="5"/>
        <v>74857473</v>
      </c>
      <c r="G122" s="11" t="s">
        <v>510</v>
      </c>
    </row>
    <row r="123" spans="1:10">
      <c r="A123" s="11" t="s">
        <v>532</v>
      </c>
      <c r="B123" s="3">
        <v>-52000</v>
      </c>
      <c r="C123" s="11">
        <v>41</v>
      </c>
      <c r="D123" s="11">
        <f t="shared" si="3"/>
        <v>991</v>
      </c>
      <c r="E123" s="11">
        <f t="shared" si="4"/>
        <v>0</v>
      </c>
      <c r="F123" s="11">
        <f t="shared" si="5"/>
        <v>-51532000</v>
      </c>
      <c r="G123" s="11" t="s">
        <v>534</v>
      </c>
    </row>
    <row r="124" spans="1:10">
      <c r="A124" s="11" t="s">
        <v>584</v>
      </c>
      <c r="B124" s="3">
        <v>1187</v>
      </c>
      <c r="C124" s="11">
        <v>1</v>
      </c>
      <c r="D124" s="11">
        <f t="shared" si="3"/>
        <v>950</v>
      </c>
      <c r="E124" s="11">
        <f t="shared" si="4"/>
        <v>1</v>
      </c>
      <c r="F124" s="11">
        <f t="shared" si="5"/>
        <v>1126463</v>
      </c>
      <c r="G124" s="11" t="s">
        <v>585</v>
      </c>
    </row>
    <row r="125" spans="1:10">
      <c r="A125" s="11" t="s">
        <v>582</v>
      </c>
      <c r="B125" s="3">
        <v>2400000</v>
      </c>
      <c r="C125" s="11">
        <v>2</v>
      </c>
      <c r="D125" s="11">
        <f t="shared" si="3"/>
        <v>949</v>
      </c>
      <c r="E125" s="11">
        <f t="shared" si="4"/>
        <v>1</v>
      </c>
      <c r="F125" s="11">
        <f t="shared" si="5"/>
        <v>2275200000</v>
      </c>
      <c r="G125" s="11" t="s">
        <v>583</v>
      </c>
    </row>
    <row r="126" spans="1:10">
      <c r="A126" s="11" t="s">
        <v>591</v>
      </c>
      <c r="B126" s="3">
        <v>1342800</v>
      </c>
      <c r="C126" s="11">
        <v>0</v>
      </c>
      <c r="D126" s="11">
        <f t="shared" si="3"/>
        <v>947</v>
      </c>
      <c r="E126" s="11">
        <f t="shared" si="4"/>
        <v>1</v>
      </c>
      <c r="F126" s="11">
        <f t="shared" si="5"/>
        <v>1270288800</v>
      </c>
      <c r="G126" s="11" t="s">
        <v>592</v>
      </c>
    </row>
    <row r="127" spans="1:10">
      <c r="A127" s="11" t="s">
        <v>591</v>
      </c>
      <c r="B127" s="3">
        <v>1342800</v>
      </c>
      <c r="C127" s="11">
        <v>12</v>
      </c>
      <c r="D127" s="11">
        <f t="shared" si="3"/>
        <v>947</v>
      </c>
      <c r="E127" s="11">
        <f t="shared" si="4"/>
        <v>1</v>
      </c>
      <c r="F127" s="11">
        <f t="shared" si="5"/>
        <v>1270288800</v>
      </c>
      <c r="G127" s="11" t="s">
        <v>593</v>
      </c>
    </row>
    <row r="128" spans="1:10">
      <c r="A128" s="11" t="s">
        <v>600</v>
      </c>
      <c r="B128" s="3">
        <v>-200000</v>
      </c>
      <c r="C128" s="11">
        <v>2</v>
      </c>
      <c r="D128" s="11">
        <f t="shared" si="3"/>
        <v>935</v>
      </c>
      <c r="E128" s="11">
        <f t="shared" si="4"/>
        <v>0</v>
      </c>
      <c r="F128" s="11">
        <f t="shared" si="5"/>
        <v>-187000000</v>
      </c>
      <c r="G128" s="11" t="s">
        <v>158</v>
      </c>
    </row>
    <row r="129" spans="1:11">
      <c r="A129" s="11" t="s">
        <v>601</v>
      </c>
      <c r="B129" s="3">
        <v>-15618</v>
      </c>
      <c r="C129" s="11">
        <v>1</v>
      </c>
      <c r="D129" s="11">
        <f t="shared" si="3"/>
        <v>933</v>
      </c>
      <c r="E129" s="11">
        <f t="shared" si="4"/>
        <v>0</v>
      </c>
      <c r="F129" s="11">
        <f>B129*(D129-E129)</f>
        <v>-14571594</v>
      </c>
      <c r="G129" s="11" t="s">
        <v>602</v>
      </c>
      <c r="K129" t="s">
        <v>25</v>
      </c>
    </row>
    <row r="130" spans="1:11">
      <c r="A130" s="11" t="s">
        <v>603</v>
      </c>
      <c r="B130" s="3">
        <v>-200000</v>
      </c>
      <c r="C130" s="11">
        <v>1</v>
      </c>
      <c r="D130" s="11">
        <f t="shared" ref="D130:D185" si="6">D131+C130</f>
        <v>932</v>
      </c>
      <c r="E130" s="11">
        <f t="shared" si="4"/>
        <v>0</v>
      </c>
      <c r="F130" s="11">
        <f t="shared" si="5"/>
        <v>-186400000</v>
      </c>
      <c r="G130" s="11" t="s">
        <v>502</v>
      </c>
    </row>
    <row r="131" spans="1:11">
      <c r="A131" s="11" t="s">
        <v>605</v>
      </c>
      <c r="B131" s="3">
        <v>-200000</v>
      </c>
      <c r="C131" s="11">
        <v>1</v>
      </c>
      <c r="D131" s="11">
        <f t="shared" si="6"/>
        <v>931</v>
      </c>
      <c r="E131" s="11">
        <f t="shared" ref="E131:E248" si="7">IF(B131&gt;0,1,0)</f>
        <v>0</v>
      </c>
      <c r="F131" s="11">
        <f t="shared" si="5"/>
        <v>-186200000</v>
      </c>
      <c r="G131" s="11" t="s">
        <v>606</v>
      </c>
    </row>
    <row r="132" spans="1:11">
      <c r="A132" s="11" t="s">
        <v>607</v>
      </c>
      <c r="B132" s="3">
        <v>-390000</v>
      </c>
      <c r="C132" s="11">
        <v>0</v>
      </c>
      <c r="D132" s="11">
        <f t="shared" si="6"/>
        <v>930</v>
      </c>
      <c r="E132" s="11">
        <f t="shared" si="7"/>
        <v>0</v>
      </c>
      <c r="F132" s="11">
        <f t="shared" si="5"/>
        <v>-362700000</v>
      </c>
      <c r="G132" s="11" t="s">
        <v>608</v>
      </c>
    </row>
    <row r="133" spans="1:11">
      <c r="A133" s="11" t="s">
        <v>607</v>
      </c>
      <c r="B133" s="3">
        <v>-24500</v>
      </c>
      <c r="C133" s="11">
        <v>1</v>
      </c>
      <c r="D133" s="11">
        <f t="shared" si="6"/>
        <v>930</v>
      </c>
      <c r="E133" s="11">
        <f t="shared" si="7"/>
        <v>0</v>
      </c>
      <c r="F133" s="11">
        <f t="shared" si="5"/>
        <v>-22785000</v>
      </c>
      <c r="G133" s="11" t="s">
        <v>609</v>
      </c>
    </row>
    <row r="134" spans="1:11">
      <c r="A134" s="11" t="s">
        <v>610</v>
      </c>
      <c r="B134" s="3">
        <v>-95000</v>
      </c>
      <c r="C134" s="11">
        <v>4</v>
      </c>
      <c r="D134" s="11">
        <f t="shared" si="6"/>
        <v>929</v>
      </c>
      <c r="E134" s="11">
        <f t="shared" si="7"/>
        <v>0</v>
      </c>
      <c r="F134" s="11">
        <f t="shared" si="5"/>
        <v>-88255000</v>
      </c>
      <c r="G134" s="11" t="s">
        <v>459</v>
      </c>
    </row>
    <row r="135" spans="1:11">
      <c r="A135" s="11" t="s">
        <v>612</v>
      </c>
      <c r="B135" s="3">
        <v>-200000</v>
      </c>
      <c r="C135" s="11">
        <v>2</v>
      </c>
      <c r="D135" s="11">
        <f t="shared" si="6"/>
        <v>925</v>
      </c>
      <c r="E135" s="11">
        <f t="shared" si="7"/>
        <v>0</v>
      </c>
      <c r="F135" s="11">
        <f t="shared" si="5"/>
        <v>-185000000</v>
      </c>
      <c r="G135" s="11" t="s">
        <v>613</v>
      </c>
    </row>
    <row r="136" spans="1:11">
      <c r="A136" s="11" t="s">
        <v>615</v>
      </c>
      <c r="B136" s="3">
        <v>50000000</v>
      </c>
      <c r="C136" s="11">
        <v>1</v>
      </c>
      <c r="D136" s="11">
        <f t="shared" si="6"/>
        <v>923</v>
      </c>
      <c r="E136" s="11">
        <f t="shared" si="7"/>
        <v>1</v>
      </c>
      <c r="F136" s="11">
        <f t="shared" si="5"/>
        <v>46100000000</v>
      </c>
      <c r="G136" s="11" t="s">
        <v>616</v>
      </c>
    </row>
    <row r="137" spans="1:11">
      <c r="A137" s="11" t="s">
        <v>621</v>
      </c>
      <c r="B137" s="3">
        <v>12000000</v>
      </c>
      <c r="C137" s="11">
        <v>2</v>
      </c>
      <c r="D137" s="11">
        <f t="shared" si="6"/>
        <v>922</v>
      </c>
      <c r="E137" s="11">
        <f t="shared" si="7"/>
        <v>1</v>
      </c>
      <c r="F137" s="11">
        <f t="shared" si="5"/>
        <v>11052000000</v>
      </c>
      <c r="G137" s="11" t="s">
        <v>616</v>
      </c>
    </row>
    <row r="138" spans="1:11">
      <c r="A138" s="11" t="s">
        <v>623</v>
      </c>
      <c r="B138" s="3">
        <v>2000000</v>
      </c>
      <c r="C138" s="11">
        <v>1</v>
      </c>
      <c r="D138" s="11">
        <f t="shared" si="6"/>
        <v>920</v>
      </c>
      <c r="E138" s="11">
        <f t="shared" si="7"/>
        <v>1</v>
      </c>
      <c r="F138" s="11">
        <f t="shared" si="5"/>
        <v>1838000000</v>
      </c>
      <c r="G138" s="11" t="s">
        <v>625</v>
      </c>
    </row>
    <row r="139" spans="1:11">
      <c r="A139" s="11" t="s">
        <v>627</v>
      </c>
      <c r="B139" s="3">
        <v>87538</v>
      </c>
      <c r="C139" s="11">
        <v>13</v>
      </c>
      <c r="D139" s="11">
        <f t="shared" si="6"/>
        <v>919</v>
      </c>
      <c r="E139" s="11">
        <f t="shared" si="7"/>
        <v>1</v>
      </c>
      <c r="F139" s="11">
        <f t="shared" si="5"/>
        <v>80359884</v>
      </c>
      <c r="G139" s="11" t="s">
        <v>375</v>
      </c>
    </row>
    <row r="140" spans="1:11">
      <c r="A140" s="11" t="s">
        <v>649</v>
      </c>
      <c r="B140" s="3">
        <v>-3000900</v>
      </c>
      <c r="C140" s="11">
        <v>1</v>
      </c>
      <c r="D140" s="11">
        <f t="shared" si="6"/>
        <v>906</v>
      </c>
      <c r="E140" s="11">
        <f t="shared" si="7"/>
        <v>0</v>
      </c>
      <c r="F140" s="11">
        <f t="shared" si="5"/>
        <v>-2718815400</v>
      </c>
      <c r="G140" s="11" t="s">
        <v>650</v>
      </c>
    </row>
    <row r="141" spans="1:11">
      <c r="A141" s="11" t="s">
        <v>666</v>
      </c>
      <c r="B141" s="3">
        <v>-3000900</v>
      </c>
      <c r="C141" s="11">
        <v>17</v>
      </c>
      <c r="D141" s="11">
        <f t="shared" si="6"/>
        <v>905</v>
      </c>
      <c r="E141" s="11">
        <f t="shared" si="7"/>
        <v>0</v>
      </c>
      <c r="F141" s="11">
        <f t="shared" si="5"/>
        <v>-2715814500</v>
      </c>
      <c r="G141" s="11" t="s">
        <v>650</v>
      </c>
      <c r="K141" t="s">
        <v>25</v>
      </c>
    </row>
    <row r="142" spans="1:11">
      <c r="A142" s="11" t="s">
        <v>630</v>
      </c>
      <c r="B142" s="3">
        <v>602025</v>
      </c>
      <c r="C142" s="11">
        <v>0</v>
      </c>
      <c r="D142" s="11">
        <f t="shared" si="6"/>
        <v>888</v>
      </c>
      <c r="E142" s="11">
        <f t="shared" si="7"/>
        <v>1</v>
      </c>
      <c r="F142" s="11">
        <f t="shared" si="5"/>
        <v>533996175</v>
      </c>
      <c r="G142" s="11" t="s">
        <v>668</v>
      </c>
    </row>
    <row r="143" spans="1:11">
      <c r="A143" s="11" t="s">
        <v>630</v>
      </c>
      <c r="B143" s="3">
        <v>-46000000</v>
      </c>
      <c r="C143" s="11">
        <v>31</v>
      </c>
      <c r="D143" s="11">
        <f t="shared" si="6"/>
        <v>888</v>
      </c>
      <c r="E143" s="11">
        <f t="shared" si="7"/>
        <v>0</v>
      </c>
      <c r="F143" s="11">
        <f t="shared" si="5"/>
        <v>-40848000000</v>
      </c>
      <c r="G143" s="11" t="s">
        <v>671</v>
      </c>
    </row>
    <row r="144" spans="1:11">
      <c r="A144" s="11" t="s">
        <v>631</v>
      </c>
      <c r="B144" s="3">
        <v>154107</v>
      </c>
      <c r="C144" s="11">
        <v>1</v>
      </c>
      <c r="D144" s="11">
        <f t="shared" si="6"/>
        <v>857</v>
      </c>
      <c r="E144" s="11">
        <f t="shared" si="7"/>
        <v>1</v>
      </c>
      <c r="F144" s="11">
        <f t="shared" si="5"/>
        <v>131915592</v>
      </c>
      <c r="G144" s="11" t="s">
        <v>694</v>
      </c>
    </row>
    <row r="145" spans="1:11">
      <c r="A145" s="11" t="s">
        <v>700</v>
      </c>
      <c r="B145" s="3">
        <v>3000000</v>
      </c>
      <c r="C145" s="11">
        <v>3</v>
      </c>
      <c r="D145" s="11">
        <f t="shared" si="6"/>
        <v>856</v>
      </c>
      <c r="E145" s="11">
        <f t="shared" si="7"/>
        <v>1</v>
      </c>
      <c r="F145" s="11">
        <f t="shared" si="5"/>
        <v>2565000000</v>
      </c>
      <c r="G145" s="11" t="s">
        <v>701</v>
      </c>
    </row>
    <row r="146" spans="1:11">
      <c r="A146" s="11" t="s">
        <v>702</v>
      </c>
      <c r="B146" s="3">
        <v>-200000</v>
      </c>
      <c r="C146" s="11">
        <v>5</v>
      </c>
      <c r="D146" s="11">
        <f t="shared" si="6"/>
        <v>853</v>
      </c>
      <c r="E146" s="11">
        <f t="shared" si="7"/>
        <v>0</v>
      </c>
      <c r="F146" s="11">
        <f t="shared" si="5"/>
        <v>-170600000</v>
      </c>
      <c r="G146" s="11" t="s">
        <v>158</v>
      </c>
    </row>
    <row r="147" spans="1:11">
      <c r="A147" s="11" t="s">
        <v>703</v>
      </c>
      <c r="B147" s="3">
        <v>-200000</v>
      </c>
      <c r="C147" s="11">
        <v>1</v>
      </c>
      <c r="D147" s="11">
        <f t="shared" si="6"/>
        <v>848</v>
      </c>
      <c r="E147" s="11">
        <f t="shared" si="7"/>
        <v>0</v>
      </c>
      <c r="F147" s="11">
        <f t="shared" si="5"/>
        <v>-169600000</v>
      </c>
      <c r="G147" s="11" t="s">
        <v>158</v>
      </c>
      <c r="K147" t="s">
        <v>25</v>
      </c>
    </row>
    <row r="148" spans="1:11">
      <c r="A148" s="11" t="s">
        <v>704</v>
      </c>
      <c r="B148" s="3">
        <v>-200000</v>
      </c>
      <c r="C148" s="11">
        <v>4</v>
      </c>
      <c r="D148" s="11">
        <f t="shared" si="6"/>
        <v>847</v>
      </c>
      <c r="E148" s="11">
        <f t="shared" si="7"/>
        <v>0</v>
      </c>
      <c r="F148" s="11">
        <f t="shared" si="5"/>
        <v>-169400000</v>
      </c>
      <c r="G148" s="11" t="s">
        <v>158</v>
      </c>
    </row>
    <row r="149" spans="1:11">
      <c r="A149" s="11" t="s">
        <v>634</v>
      </c>
      <c r="B149" s="3">
        <v>-200000</v>
      </c>
      <c r="C149" s="11">
        <v>1</v>
      </c>
      <c r="D149" s="11">
        <f t="shared" si="6"/>
        <v>843</v>
      </c>
      <c r="E149" s="11">
        <f t="shared" si="7"/>
        <v>0</v>
      </c>
      <c r="F149" s="11">
        <f t="shared" si="5"/>
        <v>-168600000</v>
      </c>
      <c r="G149" s="11" t="s">
        <v>158</v>
      </c>
    </row>
    <row r="150" spans="1:11">
      <c r="A150" s="11" t="s">
        <v>710</v>
      </c>
      <c r="B150" s="3">
        <v>24073400</v>
      </c>
      <c r="C150" s="11">
        <v>2</v>
      </c>
      <c r="D150" s="11">
        <f t="shared" si="6"/>
        <v>842</v>
      </c>
      <c r="E150" s="11">
        <f t="shared" si="7"/>
        <v>1</v>
      </c>
      <c r="F150" s="11">
        <f t="shared" si="5"/>
        <v>20245729400</v>
      </c>
      <c r="G150" s="11" t="s">
        <v>711</v>
      </c>
    </row>
    <row r="151" spans="1:11">
      <c r="A151" s="11" t="s">
        <v>719</v>
      </c>
      <c r="B151" s="3">
        <v>-200000</v>
      </c>
      <c r="C151" s="11">
        <v>6</v>
      </c>
      <c r="D151" s="11">
        <f t="shared" si="6"/>
        <v>840</v>
      </c>
      <c r="E151" s="11">
        <f t="shared" si="7"/>
        <v>0</v>
      </c>
      <c r="F151" s="11">
        <f t="shared" si="5"/>
        <v>-168000000</v>
      </c>
      <c r="G151" s="11" t="s">
        <v>158</v>
      </c>
    </row>
    <row r="152" spans="1:11">
      <c r="A152" s="11" t="s">
        <v>720</v>
      </c>
      <c r="B152" s="3">
        <v>-30000000</v>
      </c>
      <c r="C152" s="11">
        <v>1</v>
      </c>
      <c r="D152" s="11">
        <f t="shared" si="6"/>
        <v>834</v>
      </c>
      <c r="E152" s="11">
        <f t="shared" si="7"/>
        <v>0</v>
      </c>
      <c r="F152" s="11">
        <f t="shared" si="5"/>
        <v>-25020000000</v>
      </c>
      <c r="G152" s="11" t="s">
        <v>721</v>
      </c>
    </row>
    <row r="153" spans="1:11">
      <c r="A153" s="11" t="s">
        <v>728</v>
      </c>
      <c r="B153" s="3">
        <v>-52000</v>
      </c>
      <c r="C153" s="11">
        <v>0</v>
      </c>
      <c r="D153" s="11">
        <f t="shared" si="6"/>
        <v>833</v>
      </c>
      <c r="E153" s="11">
        <f t="shared" si="7"/>
        <v>0</v>
      </c>
      <c r="F153" s="11">
        <f t="shared" si="5"/>
        <v>-43316000</v>
      </c>
      <c r="G153" s="11" t="s">
        <v>729</v>
      </c>
    </row>
    <row r="154" spans="1:11">
      <c r="A154" s="11" t="s">
        <v>728</v>
      </c>
      <c r="B154" s="3">
        <v>-136000</v>
      </c>
      <c r="C154" s="11">
        <v>5</v>
      </c>
      <c r="D154" s="11">
        <f t="shared" si="6"/>
        <v>833</v>
      </c>
      <c r="E154" s="11">
        <f t="shared" si="7"/>
        <v>0</v>
      </c>
      <c r="F154" s="11">
        <f t="shared" si="5"/>
        <v>-113288000</v>
      </c>
      <c r="G154" s="11" t="s">
        <v>730</v>
      </c>
    </row>
    <row r="155" spans="1:11">
      <c r="A155" s="11" t="s">
        <v>732</v>
      </c>
      <c r="B155" s="3">
        <v>3000000</v>
      </c>
      <c r="C155" s="11">
        <v>1</v>
      </c>
      <c r="D155" s="11">
        <f t="shared" si="6"/>
        <v>828</v>
      </c>
      <c r="E155" s="11">
        <f t="shared" si="7"/>
        <v>1</v>
      </c>
      <c r="F155" s="11">
        <f t="shared" si="5"/>
        <v>2481000000</v>
      </c>
      <c r="G155" s="11" t="s">
        <v>733</v>
      </c>
    </row>
    <row r="156" spans="1:11">
      <c r="A156" s="11" t="s">
        <v>632</v>
      </c>
      <c r="B156" s="3">
        <v>189103</v>
      </c>
      <c r="C156" s="11">
        <v>0</v>
      </c>
      <c r="D156" s="11">
        <f t="shared" si="6"/>
        <v>827</v>
      </c>
      <c r="E156" s="11">
        <f t="shared" si="7"/>
        <v>1</v>
      </c>
      <c r="F156" s="11">
        <f t="shared" si="5"/>
        <v>156199078</v>
      </c>
      <c r="G156" s="11" t="s">
        <v>734</v>
      </c>
    </row>
    <row r="157" spans="1:11">
      <c r="A157" s="11" t="s">
        <v>632</v>
      </c>
      <c r="B157" s="3">
        <v>24227700</v>
      </c>
      <c r="C157" s="11">
        <v>8</v>
      </c>
      <c r="D157" s="11">
        <f t="shared" si="6"/>
        <v>827</v>
      </c>
      <c r="E157" s="11">
        <f t="shared" si="7"/>
        <v>1</v>
      </c>
      <c r="F157" s="11">
        <f t="shared" si="5"/>
        <v>20012080200</v>
      </c>
      <c r="G157" s="11" t="s">
        <v>735</v>
      </c>
    </row>
    <row r="158" spans="1:11">
      <c r="A158" s="11" t="s">
        <v>753</v>
      </c>
      <c r="B158" s="3">
        <v>24295200</v>
      </c>
      <c r="C158" s="11">
        <v>0</v>
      </c>
      <c r="D158" s="11">
        <f t="shared" si="6"/>
        <v>819</v>
      </c>
      <c r="E158" s="11">
        <f t="shared" si="7"/>
        <v>1</v>
      </c>
      <c r="F158" s="11">
        <f t="shared" si="5"/>
        <v>19873473600</v>
      </c>
      <c r="G158" s="11" t="s">
        <v>749</v>
      </c>
    </row>
    <row r="159" spans="1:11">
      <c r="A159" s="11" t="s">
        <v>753</v>
      </c>
      <c r="B159" s="3">
        <v>-201000</v>
      </c>
      <c r="C159" s="11">
        <v>5</v>
      </c>
      <c r="D159" s="11">
        <f t="shared" si="6"/>
        <v>819</v>
      </c>
      <c r="E159" s="11">
        <f t="shared" si="7"/>
        <v>0</v>
      </c>
      <c r="F159" s="11">
        <f t="shared" si="5"/>
        <v>-164619000</v>
      </c>
      <c r="G159" s="11" t="s">
        <v>756</v>
      </c>
    </row>
    <row r="160" spans="1:11">
      <c r="A160" s="11" t="s">
        <v>757</v>
      </c>
      <c r="B160" s="3">
        <v>-200000</v>
      </c>
      <c r="C160" s="11">
        <v>3</v>
      </c>
      <c r="D160" s="11">
        <f t="shared" si="6"/>
        <v>814</v>
      </c>
      <c r="E160" s="11">
        <f t="shared" si="7"/>
        <v>0</v>
      </c>
      <c r="F160" s="11">
        <f t="shared" si="5"/>
        <v>-162800000</v>
      </c>
      <c r="G160" s="11" t="s">
        <v>758</v>
      </c>
    </row>
    <row r="161" spans="1:7">
      <c r="A161" s="11" t="s">
        <v>764</v>
      </c>
      <c r="B161" s="3">
        <v>-200000</v>
      </c>
      <c r="C161" s="11">
        <v>4</v>
      </c>
      <c r="D161" s="11">
        <f t="shared" si="6"/>
        <v>811</v>
      </c>
      <c r="E161" s="11">
        <f t="shared" si="7"/>
        <v>0</v>
      </c>
      <c r="F161" s="11">
        <f t="shared" si="5"/>
        <v>-162200000</v>
      </c>
      <c r="G161" s="11" t="s">
        <v>758</v>
      </c>
    </row>
    <row r="162" spans="1:7">
      <c r="A162" s="11" t="s">
        <v>766</v>
      </c>
      <c r="B162" s="3">
        <v>-200000</v>
      </c>
      <c r="C162" s="11">
        <v>3</v>
      </c>
      <c r="D162" s="11">
        <f t="shared" si="6"/>
        <v>807</v>
      </c>
      <c r="E162" s="11">
        <f t="shared" si="7"/>
        <v>0</v>
      </c>
      <c r="F162" s="11">
        <f t="shared" si="5"/>
        <v>-161400000</v>
      </c>
      <c r="G162" s="11" t="s">
        <v>758</v>
      </c>
    </row>
    <row r="163" spans="1:7">
      <c r="A163" s="11" t="s">
        <v>767</v>
      </c>
      <c r="B163" s="3">
        <v>-200000</v>
      </c>
      <c r="C163" s="11">
        <v>7</v>
      </c>
      <c r="D163" s="11">
        <f t="shared" si="6"/>
        <v>804</v>
      </c>
      <c r="E163" s="11">
        <f t="shared" si="7"/>
        <v>0</v>
      </c>
      <c r="F163" s="11">
        <f t="shared" si="5"/>
        <v>-160800000</v>
      </c>
      <c r="G163" s="11" t="s">
        <v>758</v>
      </c>
    </row>
    <row r="164" spans="1:7">
      <c r="A164" s="11" t="s">
        <v>633</v>
      </c>
      <c r="B164" s="3">
        <v>457674</v>
      </c>
      <c r="C164" s="11">
        <v>3</v>
      </c>
      <c r="D164" s="11">
        <f t="shared" si="6"/>
        <v>797</v>
      </c>
      <c r="E164" s="11">
        <f t="shared" si="7"/>
        <v>1</v>
      </c>
      <c r="F164" s="11">
        <f t="shared" si="5"/>
        <v>364308504</v>
      </c>
      <c r="G164" s="11" t="s">
        <v>771</v>
      </c>
    </row>
    <row r="165" spans="1:7">
      <c r="A165" s="11" t="s">
        <v>776</v>
      </c>
      <c r="B165" s="3">
        <v>2700000</v>
      </c>
      <c r="C165" s="11">
        <v>0</v>
      </c>
      <c r="D165" s="11">
        <f t="shared" si="6"/>
        <v>794</v>
      </c>
      <c r="E165" s="11">
        <f t="shared" si="7"/>
        <v>1</v>
      </c>
      <c r="F165" s="11">
        <f t="shared" si="5"/>
        <v>2141100000</v>
      </c>
      <c r="G165" s="11" t="s">
        <v>777</v>
      </c>
    </row>
    <row r="166" spans="1:7">
      <c r="A166" s="11" t="s">
        <v>776</v>
      </c>
      <c r="B166" s="3">
        <v>2500000</v>
      </c>
      <c r="C166" s="11">
        <v>7</v>
      </c>
      <c r="D166" s="11">
        <f t="shared" si="6"/>
        <v>794</v>
      </c>
      <c r="E166" s="11">
        <f t="shared" si="7"/>
        <v>1</v>
      </c>
      <c r="F166" s="11">
        <f t="shared" si="5"/>
        <v>1982500000</v>
      </c>
      <c r="G166" s="11" t="s">
        <v>778</v>
      </c>
    </row>
    <row r="167" spans="1:7">
      <c r="A167" s="11" t="s">
        <v>790</v>
      </c>
      <c r="B167" s="3">
        <v>-200000</v>
      </c>
      <c r="C167" s="11">
        <v>2</v>
      </c>
      <c r="D167" s="11">
        <f t="shared" si="6"/>
        <v>787</v>
      </c>
      <c r="E167" s="11">
        <f t="shared" si="7"/>
        <v>0</v>
      </c>
      <c r="F167" s="11">
        <f t="shared" si="5"/>
        <v>-157400000</v>
      </c>
      <c r="G167" s="11" t="s">
        <v>502</v>
      </c>
    </row>
    <row r="168" spans="1:7">
      <c r="A168" s="11" t="s">
        <v>792</v>
      </c>
      <c r="B168" s="3">
        <v>-200000</v>
      </c>
      <c r="C168" s="11">
        <v>6</v>
      </c>
      <c r="D168" s="11">
        <f t="shared" si="6"/>
        <v>785</v>
      </c>
      <c r="E168" s="11">
        <f t="shared" si="7"/>
        <v>0</v>
      </c>
      <c r="F168" s="11">
        <f t="shared" si="5"/>
        <v>-157000000</v>
      </c>
      <c r="G168" s="11" t="s">
        <v>502</v>
      </c>
    </row>
    <row r="169" spans="1:7">
      <c r="A169" s="11" t="s">
        <v>794</v>
      </c>
      <c r="B169" s="3">
        <v>-200000</v>
      </c>
      <c r="C169" s="11">
        <v>3</v>
      </c>
      <c r="D169" s="11">
        <f t="shared" si="6"/>
        <v>779</v>
      </c>
      <c r="E169" s="11">
        <f t="shared" si="7"/>
        <v>0</v>
      </c>
      <c r="F169" s="11">
        <f t="shared" si="5"/>
        <v>-155800000</v>
      </c>
      <c r="G169" s="11" t="s">
        <v>502</v>
      </c>
    </row>
    <row r="170" spans="1:7">
      <c r="A170" s="11" t="s">
        <v>799</v>
      </c>
      <c r="B170" s="3">
        <v>-200000</v>
      </c>
      <c r="C170" s="11">
        <v>0</v>
      </c>
      <c r="D170" s="11">
        <f t="shared" si="6"/>
        <v>776</v>
      </c>
      <c r="E170" s="11">
        <f t="shared" si="7"/>
        <v>0</v>
      </c>
      <c r="F170" s="11">
        <f t="shared" si="5"/>
        <v>-155200000</v>
      </c>
      <c r="G170" s="11" t="s">
        <v>502</v>
      </c>
    </row>
    <row r="171" spans="1:7">
      <c r="A171" s="11" t="s">
        <v>799</v>
      </c>
      <c r="B171" s="3">
        <v>3000000</v>
      </c>
      <c r="C171" s="11">
        <v>3</v>
      </c>
      <c r="D171" s="11">
        <f t="shared" si="6"/>
        <v>776</v>
      </c>
      <c r="E171" s="11">
        <f t="shared" si="7"/>
        <v>1</v>
      </c>
      <c r="F171" s="11">
        <f t="shared" si="5"/>
        <v>2325000000</v>
      </c>
      <c r="G171" s="11" t="s">
        <v>800</v>
      </c>
    </row>
    <row r="172" spans="1:7">
      <c r="A172" s="11" t="s">
        <v>801</v>
      </c>
      <c r="B172" s="3">
        <v>-200000</v>
      </c>
      <c r="C172" s="11">
        <v>1</v>
      </c>
      <c r="D172" s="11">
        <f t="shared" si="6"/>
        <v>773</v>
      </c>
      <c r="E172" s="11">
        <f t="shared" si="7"/>
        <v>0</v>
      </c>
      <c r="F172" s="11">
        <f t="shared" si="5"/>
        <v>-154600000</v>
      </c>
      <c r="G172" s="11" t="s">
        <v>158</v>
      </c>
    </row>
    <row r="173" spans="1:7">
      <c r="A173" s="11" t="s">
        <v>801</v>
      </c>
      <c r="B173" s="3">
        <v>3000000</v>
      </c>
      <c r="C173" s="11">
        <v>1</v>
      </c>
      <c r="D173" s="11">
        <f t="shared" si="6"/>
        <v>772</v>
      </c>
      <c r="E173" s="11">
        <f t="shared" si="7"/>
        <v>1</v>
      </c>
      <c r="F173" s="11">
        <f t="shared" si="5"/>
        <v>2313000000</v>
      </c>
      <c r="G173" s="11" t="s">
        <v>803</v>
      </c>
    </row>
    <row r="174" spans="1:7">
      <c r="A174" s="11" t="s">
        <v>802</v>
      </c>
      <c r="B174" s="3">
        <v>2000000</v>
      </c>
      <c r="C174" s="11">
        <v>1</v>
      </c>
      <c r="D174" s="11">
        <f t="shared" si="6"/>
        <v>771</v>
      </c>
      <c r="E174" s="11">
        <f t="shared" si="7"/>
        <v>1</v>
      </c>
      <c r="F174" s="11">
        <f t="shared" si="5"/>
        <v>1540000000</v>
      </c>
      <c r="G174" s="11" t="s">
        <v>804</v>
      </c>
    </row>
    <row r="175" spans="1:7">
      <c r="A175" s="11" t="s">
        <v>802</v>
      </c>
      <c r="B175" s="3">
        <v>1300000</v>
      </c>
      <c r="C175" s="11">
        <v>2</v>
      </c>
      <c r="D175" s="11">
        <f t="shared" si="6"/>
        <v>770</v>
      </c>
      <c r="E175" s="11">
        <f t="shared" si="7"/>
        <v>1</v>
      </c>
      <c r="F175" s="11">
        <f t="shared" si="5"/>
        <v>999700000</v>
      </c>
      <c r="G175" s="11" t="s">
        <v>805</v>
      </c>
    </row>
    <row r="176" spans="1:7">
      <c r="A176" s="11" t="s">
        <v>806</v>
      </c>
      <c r="B176" s="3">
        <v>-200000</v>
      </c>
      <c r="C176" s="11">
        <v>0</v>
      </c>
      <c r="D176" s="11">
        <f t="shared" si="6"/>
        <v>768</v>
      </c>
      <c r="E176" s="11">
        <f t="shared" si="7"/>
        <v>0</v>
      </c>
      <c r="F176" s="11">
        <f t="shared" si="5"/>
        <v>-153600000</v>
      </c>
      <c r="G176" s="11" t="s">
        <v>758</v>
      </c>
    </row>
    <row r="177" spans="1:7">
      <c r="A177" s="11" t="s">
        <v>806</v>
      </c>
      <c r="B177" s="3">
        <v>1700000</v>
      </c>
      <c r="C177" s="11">
        <v>1</v>
      </c>
      <c r="D177" s="11">
        <f t="shared" si="6"/>
        <v>768</v>
      </c>
      <c r="E177" s="11">
        <f t="shared" si="7"/>
        <v>1</v>
      </c>
      <c r="F177" s="11">
        <f t="shared" si="5"/>
        <v>1303900000</v>
      </c>
      <c r="G177" s="11" t="s">
        <v>807</v>
      </c>
    </row>
    <row r="178" spans="1:7">
      <c r="A178" s="11" t="s">
        <v>808</v>
      </c>
      <c r="B178" s="3">
        <v>-200000</v>
      </c>
      <c r="C178" s="11">
        <v>1</v>
      </c>
      <c r="D178" s="11">
        <f t="shared" si="6"/>
        <v>767</v>
      </c>
      <c r="E178" s="11">
        <f t="shared" si="7"/>
        <v>0</v>
      </c>
      <c r="F178" s="11">
        <f t="shared" si="5"/>
        <v>-153400000</v>
      </c>
      <c r="G178" s="11" t="s">
        <v>502</v>
      </c>
    </row>
    <row r="179" spans="1:7">
      <c r="A179" s="11" t="s">
        <v>810</v>
      </c>
      <c r="B179" s="3">
        <v>571492</v>
      </c>
      <c r="C179" s="11">
        <v>3</v>
      </c>
      <c r="D179" s="11">
        <f t="shared" si="6"/>
        <v>766</v>
      </c>
      <c r="E179" s="11">
        <f t="shared" si="7"/>
        <v>1</v>
      </c>
      <c r="F179" s="11">
        <f t="shared" si="5"/>
        <v>437191380</v>
      </c>
      <c r="G179" s="11" t="s">
        <v>242</v>
      </c>
    </row>
    <row r="180" spans="1:7">
      <c r="A180" s="11" t="s">
        <v>815</v>
      </c>
      <c r="B180" s="3">
        <v>3000000</v>
      </c>
      <c r="C180" s="11">
        <v>7</v>
      </c>
      <c r="D180" s="11">
        <f t="shared" si="6"/>
        <v>763</v>
      </c>
      <c r="E180" s="11">
        <f t="shared" si="7"/>
        <v>1</v>
      </c>
      <c r="F180" s="11">
        <f t="shared" si="5"/>
        <v>2286000000</v>
      </c>
      <c r="G180" s="11" t="s">
        <v>818</v>
      </c>
    </row>
    <row r="181" spans="1:7">
      <c r="A181" s="11" t="s">
        <v>827</v>
      </c>
      <c r="B181" s="3">
        <v>2000000</v>
      </c>
      <c r="C181" s="11">
        <v>8</v>
      </c>
      <c r="D181" s="11">
        <f t="shared" si="6"/>
        <v>756</v>
      </c>
      <c r="E181" s="11">
        <f t="shared" si="7"/>
        <v>1</v>
      </c>
      <c r="F181" s="11">
        <f t="shared" si="5"/>
        <v>1510000000</v>
      </c>
      <c r="G181" s="11" t="s">
        <v>828</v>
      </c>
    </row>
    <row r="182" spans="1:7">
      <c r="A182" s="11" t="s">
        <v>839</v>
      </c>
      <c r="B182" s="3">
        <v>-2200700</v>
      </c>
      <c r="C182" s="11">
        <v>12</v>
      </c>
      <c r="D182" s="11">
        <f t="shared" si="6"/>
        <v>748</v>
      </c>
      <c r="E182" s="11">
        <f t="shared" si="7"/>
        <v>0</v>
      </c>
      <c r="F182" s="11">
        <f t="shared" si="5"/>
        <v>-1646123600</v>
      </c>
      <c r="G182" s="11" t="s">
        <v>841</v>
      </c>
    </row>
    <row r="183" spans="1:7">
      <c r="A183" s="11" t="s">
        <v>849</v>
      </c>
      <c r="B183" s="3">
        <v>675087</v>
      </c>
      <c r="C183" s="11">
        <v>30</v>
      </c>
      <c r="D183" s="11">
        <f t="shared" si="6"/>
        <v>736</v>
      </c>
      <c r="E183" s="11">
        <f t="shared" si="7"/>
        <v>1</v>
      </c>
      <c r="F183" s="11">
        <f t="shared" si="5"/>
        <v>496188945</v>
      </c>
      <c r="G183" s="11" t="s">
        <v>264</v>
      </c>
    </row>
    <row r="184" spans="1:7">
      <c r="A184" s="11" t="s">
        <v>885</v>
      </c>
      <c r="B184" s="3">
        <v>677000</v>
      </c>
      <c r="C184" s="11">
        <v>15</v>
      </c>
      <c r="D184" s="11">
        <f>D185+C184</f>
        <v>706</v>
      </c>
      <c r="E184" s="11">
        <f t="shared" si="7"/>
        <v>1</v>
      </c>
      <c r="F184" s="11">
        <f t="shared" si="5"/>
        <v>477285000</v>
      </c>
      <c r="G184" s="11" t="s">
        <v>400</v>
      </c>
    </row>
    <row r="185" spans="1:7">
      <c r="A185" s="11" t="s">
        <v>910</v>
      </c>
      <c r="B185" s="3">
        <v>-10000</v>
      </c>
      <c r="C185" s="11">
        <v>5</v>
      </c>
      <c r="D185" s="11">
        <f t="shared" si="6"/>
        <v>691</v>
      </c>
      <c r="E185" s="11">
        <f t="shared" si="7"/>
        <v>0</v>
      </c>
      <c r="F185" s="11">
        <f t="shared" si="5"/>
        <v>-6910000</v>
      </c>
      <c r="G185" s="11" t="s">
        <v>916</v>
      </c>
    </row>
    <row r="186" spans="1:7">
      <c r="A186" s="11" t="s">
        <v>927</v>
      </c>
      <c r="B186" s="3">
        <v>-80500000</v>
      </c>
      <c r="C186" s="11">
        <v>5</v>
      </c>
      <c r="D186" s="11">
        <f t="shared" ref="D186:D275" si="8">D187+C186</f>
        <v>686</v>
      </c>
      <c r="E186" s="11">
        <f t="shared" si="7"/>
        <v>0</v>
      </c>
      <c r="F186" s="11">
        <f t="shared" si="5"/>
        <v>-55223000000</v>
      </c>
      <c r="G186" s="11" t="s">
        <v>1016</v>
      </c>
    </row>
    <row r="187" spans="1:7">
      <c r="A187" s="11" t="s">
        <v>1015</v>
      </c>
      <c r="B187" s="3">
        <v>-1100000</v>
      </c>
      <c r="C187" s="11">
        <v>0</v>
      </c>
      <c r="D187" s="11">
        <f t="shared" si="8"/>
        <v>681</v>
      </c>
      <c r="E187" s="11">
        <f t="shared" si="7"/>
        <v>0</v>
      </c>
      <c r="F187" s="11">
        <f t="shared" si="5"/>
        <v>-749100000</v>
      </c>
      <c r="G187" s="11" t="s">
        <v>1016</v>
      </c>
    </row>
    <row r="188" spans="1:7">
      <c r="A188" s="11" t="s">
        <v>1015</v>
      </c>
      <c r="B188" s="3">
        <v>3000000</v>
      </c>
      <c r="C188" s="11">
        <v>1</v>
      </c>
      <c r="D188" s="11">
        <f t="shared" si="8"/>
        <v>681</v>
      </c>
      <c r="E188" s="11">
        <f t="shared" si="7"/>
        <v>1</v>
      </c>
      <c r="F188" s="11">
        <f t="shared" si="5"/>
        <v>2040000000</v>
      </c>
      <c r="G188" s="11" t="s">
        <v>1027</v>
      </c>
    </row>
    <row r="189" spans="1:7">
      <c r="A189" s="11" t="s">
        <v>1026</v>
      </c>
      <c r="B189" s="3">
        <v>2000000</v>
      </c>
      <c r="C189" s="11">
        <v>0</v>
      </c>
      <c r="D189" s="11">
        <f t="shared" si="8"/>
        <v>680</v>
      </c>
      <c r="E189" s="11">
        <f t="shared" si="7"/>
        <v>1</v>
      </c>
      <c r="F189" s="11">
        <f t="shared" si="5"/>
        <v>1358000000</v>
      </c>
      <c r="G189" s="11" t="s">
        <v>1027</v>
      </c>
    </row>
    <row r="190" spans="1:7">
      <c r="A190" s="11" t="s">
        <v>1026</v>
      </c>
      <c r="B190" s="3">
        <v>-5000000</v>
      </c>
      <c r="C190" s="11">
        <v>1</v>
      </c>
      <c r="D190" s="11">
        <f t="shared" si="8"/>
        <v>680</v>
      </c>
      <c r="E190" s="11">
        <f t="shared" si="7"/>
        <v>0</v>
      </c>
      <c r="F190" s="11">
        <f t="shared" si="5"/>
        <v>-3400000000</v>
      </c>
      <c r="G190" s="11" t="s">
        <v>1016</v>
      </c>
    </row>
    <row r="191" spans="1:7">
      <c r="A191" s="11" t="s">
        <v>1032</v>
      </c>
      <c r="B191" s="3">
        <v>483248</v>
      </c>
      <c r="C191" s="11">
        <v>4</v>
      </c>
      <c r="D191" s="11">
        <f t="shared" si="8"/>
        <v>679</v>
      </c>
      <c r="E191" s="11">
        <f t="shared" si="7"/>
        <v>1</v>
      </c>
      <c r="F191" s="11">
        <f t="shared" si="5"/>
        <v>327642144</v>
      </c>
      <c r="G191" s="11" t="s">
        <v>1034</v>
      </c>
    </row>
    <row r="192" spans="1:7">
      <c r="A192" s="11" t="s">
        <v>1060</v>
      </c>
      <c r="B192" s="3">
        <v>-115300</v>
      </c>
      <c r="C192" s="11">
        <v>4</v>
      </c>
      <c r="D192" s="11">
        <f t="shared" si="8"/>
        <v>675</v>
      </c>
      <c r="E192" s="11">
        <f t="shared" si="7"/>
        <v>0</v>
      </c>
      <c r="F192" s="11">
        <f t="shared" si="5"/>
        <v>-77827500</v>
      </c>
      <c r="G192" s="11" t="s">
        <v>1061</v>
      </c>
    </row>
    <row r="193" spans="1:7">
      <c r="A193" s="11" t="s">
        <v>1071</v>
      </c>
      <c r="B193" s="3">
        <v>90000000</v>
      </c>
      <c r="C193" s="11">
        <v>7</v>
      </c>
      <c r="D193" s="11">
        <f t="shared" si="8"/>
        <v>671</v>
      </c>
      <c r="E193" s="11">
        <f t="shared" si="7"/>
        <v>1</v>
      </c>
      <c r="F193" s="11">
        <f t="shared" si="5"/>
        <v>60300000000</v>
      </c>
      <c r="G193" s="11" t="s">
        <v>1072</v>
      </c>
    </row>
    <row r="194" spans="1:7">
      <c r="A194" s="11" t="s">
        <v>1075</v>
      </c>
      <c r="B194" s="3">
        <v>52000000</v>
      </c>
      <c r="C194" s="11">
        <v>0</v>
      </c>
      <c r="D194" s="11">
        <f t="shared" si="8"/>
        <v>664</v>
      </c>
      <c r="E194" s="11">
        <f t="shared" si="7"/>
        <v>1</v>
      </c>
      <c r="F194" s="11">
        <f t="shared" si="5"/>
        <v>34476000000</v>
      </c>
      <c r="G194" s="11" t="s">
        <v>1080</v>
      </c>
    </row>
    <row r="195" spans="1:7">
      <c r="A195" s="11" t="s">
        <v>1075</v>
      </c>
      <c r="B195" s="3">
        <v>25000000</v>
      </c>
      <c r="C195" s="11">
        <v>0</v>
      </c>
      <c r="D195" s="11">
        <f t="shared" si="8"/>
        <v>664</v>
      </c>
      <c r="E195" s="11">
        <f t="shared" si="7"/>
        <v>1</v>
      </c>
      <c r="F195" s="99">
        <f t="shared" si="5"/>
        <v>16575000000</v>
      </c>
      <c r="G195" s="11" t="s">
        <v>1081</v>
      </c>
    </row>
    <row r="196" spans="1:7">
      <c r="A196" s="11" t="s">
        <v>1075</v>
      </c>
      <c r="B196" s="3">
        <v>-168000000</v>
      </c>
      <c r="C196" s="11">
        <v>7</v>
      </c>
      <c r="D196" s="99">
        <f t="shared" si="8"/>
        <v>664</v>
      </c>
      <c r="E196" s="99">
        <f t="shared" si="7"/>
        <v>0</v>
      </c>
      <c r="F196" s="99">
        <f t="shared" si="5"/>
        <v>-111552000000</v>
      </c>
      <c r="G196" s="11" t="s">
        <v>1082</v>
      </c>
    </row>
    <row r="197" spans="1:7">
      <c r="A197" s="11" t="s">
        <v>1128</v>
      </c>
      <c r="B197" s="3">
        <v>-165500</v>
      </c>
      <c r="C197" s="11">
        <v>4</v>
      </c>
      <c r="D197" s="99">
        <f t="shared" si="8"/>
        <v>657</v>
      </c>
      <c r="E197" s="99">
        <f t="shared" si="7"/>
        <v>0</v>
      </c>
      <c r="F197" s="99">
        <f t="shared" si="5"/>
        <v>-108733500</v>
      </c>
      <c r="G197" s="11" t="s">
        <v>1129</v>
      </c>
    </row>
    <row r="198" spans="1:7">
      <c r="A198" s="99" t="s">
        <v>1130</v>
      </c>
      <c r="B198" s="113">
        <v>-200000</v>
      </c>
      <c r="C198" s="99">
        <v>0</v>
      </c>
      <c r="D198" s="99">
        <f t="shared" si="8"/>
        <v>653</v>
      </c>
      <c r="E198" s="99">
        <f t="shared" si="7"/>
        <v>0</v>
      </c>
      <c r="F198" s="99">
        <f t="shared" si="5"/>
        <v>-130600000</v>
      </c>
      <c r="G198" s="99" t="s">
        <v>1131</v>
      </c>
    </row>
    <row r="199" spans="1:7">
      <c r="A199" s="99" t="s">
        <v>1130</v>
      </c>
      <c r="B199" s="113">
        <v>-46981</v>
      </c>
      <c r="C199" s="99">
        <v>3</v>
      </c>
      <c r="D199" s="99">
        <f t="shared" si="8"/>
        <v>653</v>
      </c>
      <c r="E199" s="99">
        <f t="shared" si="7"/>
        <v>0</v>
      </c>
      <c r="F199" s="99">
        <f t="shared" si="5"/>
        <v>-30678593</v>
      </c>
      <c r="G199" s="99" t="s">
        <v>870</v>
      </c>
    </row>
    <row r="200" spans="1:7">
      <c r="A200" s="99" t="s">
        <v>1140</v>
      </c>
      <c r="B200" s="113">
        <v>-4650</v>
      </c>
      <c r="C200" s="99">
        <v>2</v>
      </c>
      <c r="D200" s="99">
        <f t="shared" si="8"/>
        <v>650</v>
      </c>
      <c r="E200" s="99">
        <f t="shared" si="7"/>
        <v>0</v>
      </c>
      <c r="F200" s="99">
        <f t="shared" si="5"/>
        <v>-3022500</v>
      </c>
      <c r="G200" s="99" t="s">
        <v>870</v>
      </c>
    </row>
    <row r="201" spans="1:7">
      <c r="A201" s="99" t="s">
        <v>1142</v>
      </c>
      <c r="B201" s="113">
        <v>159828</v>
      </c>
      <c r="C201" s="99">
        <v>3</v>
      </c>
      <c r="D201" s="99">
        <f t="shared" si="8"/>
        <v>648</v>
      </c>
      <c r="E201" s="99">
        <f t="shared" si="7"/>
        <v>1</v>
      </c>
      <c r="F201" s="99">
        <f t="shared" si="5"/>
        <v>103408716</v>
      </c>
      <c r="G201" s="99" t="s">
        <v>510</v>
      </c>
    </row>
    <row r="202" spans="1:7">
      <c r="A202" s="99" t="s">
        <v>1153</v>
      </c>
      <c r="B202" s="113">
        <v>-300500</v>
      </c>
      <c r="C202" s="99">
        <v>0</v>
      </c>
      <c r="D202" s="99">
        <f t="shared" si="8"/>
        <v>645</v>
      </c>
      <c r="E202" s="99">
        <f t="shared" si="7"/>
        <v>0</v>
      </c>
      <c r="F202" s="99">
        <f t="shared" si="5"/>
        <v>-193822500</v>
      </c>
      <c r="G202" s="99" t="s">
        <v>1157</v>
      </c>
    </row>
    <row r="203" spans="1:7">
      <c r="A203" s="99" t="s">
        <v>1153</v>
      </c>
      <c r="B203" s="113">
        <v>6000000</v>
      </c>
      <c r="C203" s="99">
        <v>2</v>
      </c>
      <c r="D203" s="99">
        <f t="shared" si="8"/>
        <v>645</v>
      </c>
      <c r="E203" s="99">
        <f t="shared" si="7"/>
        <v>1</v>
      </c>
      <c r="F203" s="99">
        <f t="shared" si="5"/>
        <v>3864000000</v>
      </c>
      <c r="G203" s="99" t="s">
        <v>1158</v>
      </c>
    </row>
    <row r="204" spans="1:7">
      <c r="A204" s="99" t="s">
        <v>1162</v>
      </c>
      <c r="B204" s="113">
        <v>-685000</v>
      </c>
      <c r="C204" s="99">
        <v>1</v>
      </c>
      <c r="D204" s="99">
        <f t="shared" si="8"/>
        <v>643</v>
      </c>
      <c r="E204" s="99">
        <f t="shared" si="7"/>
        <v>0</v>
      </c>
      <c r="F204" s="99">
        <f t="shared" si="5"/>
        <v>-440455000</v>
      </c>
      <c r="G204" s="99" t="s">
        <v>1163</v>
      </c>
    </row>
    <row r="205" spans="1:7">
      <c r="A205" s="99" t="s">
        <v>1164</v>
      </c>
      <c r="B205" s="113">
        <v>-3000000</v>
      </c>
      <c r="C205" s="99">
        <v>1</v>
      </c>
      <c r="D205" s="99">
        <f t="shared" si="8"/>
        <v>642</v>
      </c>
      <c r="E205" s="99">
        <f t="shared" si="7"/>
        <v>0</v>
      </c>
      <c r="F205" s="99">
        <f t="shared" si="5"/>
        <v>-1926000000</v>
      </c>
      <c r="G205" s="99" t="s">
        <v>723</v>
      </c>
    </row>
    <row r="206" spans="1:7">
      <c r="A206" s="99" t="s">
        <v>1169</v>
      </c>
      <c r="B206" s="113">
        <v>-156000</v>
      </c>
      <c r="C206" s="99">
        <v>1</v>
      </c>
      <c r="D206" s="99">
        <f t="shared" si="8"/>
        <v>641</v>
      </c>
      <c r="E206" s="99">
        <f t="shared" si="7"/>
        <v>0</v>
      </c>
      <c r="F206" s="99">
        <f t="shared" si="5"/>
        <v>-99996000</v>
      </c>
      <c r="G206" s="99" t="s">
        <v>1170</v>
      </c>
    </row>
    <row r="207" spans="1:7">
      <c r="A207" s="99" t="s">
        <v>1172</v>
      </c>
      <c r="B207" s="113">
        <v>-66000</v>
      </c>
      <c r="C207" s="99">
        <v>1</v>
      </c>
      <c r="D207" s="99">
        <f t="shared" si="8"/>
        <v>640</v>
      </c>
      <c r="E207" s="99">
        <f t="shared" si="7"/>
        <v>0</v>
      </c>
      <c r="F207" s="99">
        <f t="shared" si="5"/>
        <v>-42240000</v>
      </c>
      <c r="G207" s="99" t="s">
        <v>1177</v>
      </c>
    </row>
    <row r="208" spans="1:7">
      <c r="A208" s="99" t="s">
        <v>1178</v>
      </c>
      <c r="B208" s="113">
        <v>-2500900</v>
      </c>
      <c r="C208" s="99">
        <v>2</v>
      </c>
      <c r="D208" s="99">
        <f t="shared" si="8"/>
        <v>639</v>
      </c>
      <c r="E208" s="99">
        <f t="shared" si="7"/>
        <v>0</v>
      </c>
      <c r="F208" s="99">
        <f t="shared" si="5"/>
        <v>-1598075100</v>
      </c>
      <c r="G208" s="99" t="s">
        <v>1185</v>
      </c>
    </row>
    <row r="209" spans="1:7">
      <c r="A209" s="99" t="s">
        <v>1194</v>
      </c>
      <c r="B209" s="113">
        <v>3000000</v>
      </c>
      <c r="C209" s="99">
        <v>0</v>
      </c>
      <c r="D209" s="99">
        <f t="shared" si="8"/>
        <v>637</v>
      </c>
      <c r="E209" s="99">
        <f t="shared" si="7"/>
        <v>1</v>
      </c>
      <c r="F209" s="99">
        <f t="shared" si="5"/>
        <v>1908000000</v>
      </c>
      <c r="G209" s="99" t="s">
        <v>1200</v>
      </c>
    </row>
    <row r="210" spans="1:7">
      <c r="A210" s="99" t="s">
        <v>1194</v>
      </c>
      <c r="B210" s="113">
        <v>-2601400</v>
      </c>
      <c r="C210" s="99">
        <v>2</v>
      </c>
      <c r="D210" s="99">
        <f t="shared" si="8"/>
        <v>637</v>
      </c>
      <c r="E210" s="99">
        <f t="shared" si="7"/>
        <v>0</v>
      </c>
      <c r="F210" s="99">
        <f t="shared" si="5"/>
        <v>-1657091800</v>
      </c>
      <c r="G210" s="99" t="s">
        <v>1201</v>
      </c>
    </row>
    <row r="211" spans="1:7">
      <c r="A211" s="99" t="s">
        <v>1203</v>
      </c>
      <c r="B211" s="113">
        <v>1000000</v>
      </c>
      <c r="C211" s="99">
        <v>2</v>
      </c>
      <c r="D211" s="99">
        <f t="shared" si="8"/>
        <v>635</v>
      </c>
      <c r="E211" s="99">
        <f t="shared" si="7"/>
        <v>1</v>
      </c>
      <c r="F211" s="99">
        <f t="shared" si="5"/>
        <v>634000000</v>
      </c>
      <c r="G211" s="99" t="s">
        <v>1200</v>
      </c>
    </row>
    <row r="212" spans="1:7">
      <c r="A212" s="99" t="s">
        <v>1206</v>
      </c>
      <c r="B212" s="113">
        <v>1350000</v>
      </c>
      <c r="C212" s="99">
        <v>1</v>
      </c>
      <c r="D212" s="99">
        <f t="shared" si="8"/>
        <v>633</v>
      </c>
      <c r="E212" s="99">
        <f t="shared" si="7"/>
        <v>1</v>
      </c>
      <c r="F212" s="99">
        <f t="shared" si="5"/>
        <v>853200000</v>
      </c>
      <c r="G212" s="99" t="s">
        <v>1209</v>
      </c>
    </row>
    <row r="213" spans="1:7">
      <c r="A213" s="99" t="s">
        <v>1212</v>
      </c>
      <c r="B213" s="113">
        <v>-2200000</v>
      </c>
      <c r="C213" s="99">
        <v>0</v>
      </c>
      <c r="D213" s="99">
        <f t="shared" si="8"/>
        <v>632</v>
      </c>
      <c r="E213" s="99">
        <f t="shared" si="7"/>
        <v>0</v>
      </c>
      <c r="F213" s="99">
        <f t="shared" si="5"/>
        <v>-1390400000</v>
      </c>
      <c r="G213" s="99" t="s">
        <v>1213</v>
      </c>
    </row>
    <row r="214" spans="1:7">
      <c r="A214" s="99" t="s">
        <v>1210</v>
      </c>
      <c r="B214" s="113">
        <v>-500500</v>
      </c>
      <c r="C214" s="99">
        <v>3</v>
      </c>
      <c r="D214" s="99">
        <f t="shared" si="8"/>
        <v>632</v>
      </c>
      <c r="E214" s="99">
        <f t="shared" si="7"/>
        <v>0</v>
      </c>
      <c r="F214" s="99">
        <f t="shared" si="5"/>
        <v>-316316000</v>
      </c>
      <c r="G214" s="99" t="s">
        <v>1217</v>
      </c>
    </row>
    <row r="215" spans="1:7">
      <c r="A215" s="99" t="s">
        <v>1220</v>
      </c>
      <c r="B215" s="113">
        <v>-45000</v>
      </c>
      <c r="C215" s="99">
        <v>0</v>
      </c>
      <c r="D215" s="99">
        <f t="shared" si="8"/>
        <v>629</v>
      </c>
      <c r="E215" s="99">
        <f t="shared" si="7"/>
        <v>0</v>
      </c>
      <c r="F215" s="99">
        <f t="shared" si="5"/>
        <v>-28305000</v>
      </c>
      <c r="G215" s="99" t="s">
        <v>1223</v>
      </c>
    </row>
    <row r="216" spans="1:7">
      <c r="A216" s="99" t="s">
        <v>1220</v>
      </c>
      <c r="B216" s="113">
        <v>1000000</v>
      </c>
      <c r="C216" s="99">
        <v>0</v>
      </c>
      <c r="D216" s="99">
        <f t="shared" si="8"/>
        <v>629</v>
      </c>
      <c r="E216" s="99">
        <f t="shared" si="7"/>
        <v>1</v>
      </c>
      <c r="F216" s="99">
        <f t="shared" si="5"/>
        <v>628000000</v>
      </c>
      <c r="G216" s="99" t="s">
        <v>1224</v>
      </c>
    </row>
    <row r="217" spans="1:7">
      <c r="A217" s="99" t="s">
        <v>1220</v>
      </c>
      <c r="B217" s="113">
        <v>-100000</v>
      </c>
      <c r="C217" s="99">
        <v>1</v>
      </c>
      <c r="D217" s="99">
        <f t="shared" si="8"/>
        <v>629</v>
      </c>
      <c r="E217" s="99">
        <f t="shared" si="7"/>
        <v>0</v>
      </c>
      <c r="F217" s="99">
        <f t="shared" si="5"/>
        <v>-62900000</v>
      </c>
      <c r="G217" s="99" t="s">
        <v>502</v>
      </c>
    </row>
    <row r="218" spans="1:7">
      <c r="A218" s="99" t="s">
        <v>1226</v>
      </c>
      <c r="B218" s="113">
        <v>-300000</v>
      </c>
      <c r="C218" s="99">
        <v>3</v>
      </c>
      <c r="D218" s="99">
        <f t="shared" si="8"/>
        <v>628</v>
      </c>
      <c r="E218" s="99">
        <f t="shared" si="7"/>
        <v>0</v>
      </c>
      <c r="F218" s="99">
        <f t="shared" si="5"/>
        <v>-188400000</v>
      </c>
      <c r="G218" s="99" t="s">
        <v>1227</v>
      </c>
    </row>
    <row r="219" spans="1:7">
      <c r="A219" s="99" t="s">
        <v>1239</v>
      </c>
      <c r="B219" s="113">
        <v>-50910</v>
      </c>
      <c r="C219" s="99">
        <v>0</v>
      </c>
      <c r="D219" s="99">
        <f t="shared" si="8"/>
        <v>625</v>
      </c>
      <c r="E219" s="99">
        <f t="shared" si="7"/>
        <v>0</v>
      </c>
      <c r="F219" s="99">
        <f t="shared" si="5"/>
        <v>-31818750</v>
      </c>
      <c r="G219" s="99" t="s">
        <v>1240</v>
      </c>
    </row>
    <row r="220" spans="1:7">
      <c r="A220" s="99" t="s">
        <v>1239</v>
      </c>
      <c r="B220" s="113">
        <v>-550500</v>
      </c>
      <c r="C220" s="99">
        <v>2</v>
      </c>
      <c r="D220" s="99">
        <f t="shared" si="8"/>
        <v>625</v>
      </c>
      <c r="E220" s="99">
        <f t="shared" si="7"/>
        <v>0</v>
      </c>
      <c r="F220" s="99">
        <f t="shared" si="5"/>
        <v>-344062500</v>
      </c>
      <c r="G220" s="99" t="s">
        <v>1241</v>
      </c>
    </row>
    <row r="221" spans="1:7">
      <c r="A221" s="99" t="s">
        <v>3657</v>
      </c>
      <c r="B221" s="113">
        <v>1600000</v>
      </c>
      <c r="C221" s="99">
        <v>1</v>
      </c>
      <c r="D221" s="99">
        <f t="shared" si="8"/>
        <v>623</v>
      </c>
      <c r="E221" s="99">
        <f t="shared" si="7"/>
        <v>1</v>
      </c>
      <c r="F221" s="99">
        <f t="shared" si="5"/>
        <v>995200000</v>
      </c>
      <c r="G221" s="99" t="s">
        <v>3658</v>
      </c>
    </row>
    <row r="222" spans="1:7">
      <c r="A222" s="99" t="s">
        <v>3659</v>
      </c>
      <c r="B222" s="113">
        <v>-1500700</v>
      </c>
      <c r="C222" s="99">
        <v>5</v>
      </c>
      <c r="D222" s="99">
        <f t="shared" si="8"/>
        <v>622</v>
      </c>
      <c r="E222" s="99">
        <f t="shared" si="7"/>
        <v>0</v>
      </c>
      <c r="F222" s="99">
        <f t="shared" si="5"/>
        <v>-933435400</v>
      </c>
      <c r="G222" s="99" t="s">
        <v>3661</v>
      </c>
    </row>
    <row r="223" spans="1:7">
      <c r="A223" s="99" t="s">
        <v>3669</v>
      </c>
      <c r="B223" s="113">
        <v>8619</v>
      </c>
      <c r="C223" s="99">
        <v>3</v>
      </c>
      <c r="D223" s="99">
        <f t="shared" si="8"/>
        <v>617</v>
      </c>
      <c r="E223" s="99">
        <f t="shared" si="7"/>
        <v>1</v>
      </c>
      <c r="F223" s="99">
        <f t="shared" si="5"/>
        <v>5309304</v>
      </c>
      <c r="G223" s="99" t="s">
        <v>3672</v>
      </c>
    </row>
    <row r="224" spans="1:7">
      <c r="A224" s="11" t="s">
        <v>3676</v>
      </c>
      <c r="B224" s="3">
        <v>3000000</v>
      </c>
      <c r="C224" s="11">
        <v>2</v>
      </c>
      <c r="D224" s="99">
        <f t="shared" si="8"/>
        <v>614</v>
      </c>
      <c r="E224" s="99">
        <f t="shared" si="7"/>
        <v>1</v>
      </c>
      <c r="F224" s="99">
        <f t="shared" si="5"/>
        <v>1839000000</v>
      </c>
      <c r="G224" s="11" t="s">
        <v>1200</v>
      </c>
    </row>
    <row r="225" spans="1:7">
      <c r="A225" s="11" t="s">
        <v>3692</v>
      </c>
      <c r="B225" s="3">
        <v>-3000900</v>
      </c>
      <c r="C225" s="11">
        <v>1</v>
      </c>
      <c r="D225" s="99">
        <f t="shared" si="8"/>
        <v>612</v>
      </c>
      <c r="E225" s="99">
        <f t="shared" si="7"/>
        <v>0</v>
      </c>
      <c r="F225" s="99">
        <f t="shared" si="5"/>
        <v>-1836550800</v>
      </c>
      <c r="G225" s="11" t="s">
        <v>3693</v>
      </c>
    </row>
    <row r="226" spans="1:7">
      <c r="A226" s="99" t="s">
        <v>3698</v>
      </c>
      <c r="B226" s="113">
        <v>3000000</v>
      </c>
      <c r="C226" s="99">
        <v>0</v>
      </c>
      <c r="D226" s="99">
        <f t="shared" si="8"/>
        <v>611</v>
      </c>
      <c r="E226" s="99">
        <f t="shared" si="7"/>
        <v>1</v>
      </c>
      <c r="F226" s="99">
        <f t="shared" si="5"/>
        <v>1830000000</v>
      </c>
      <c r="G226" s="99" t="s">
        <v>616</v>
      </c>
    </row>
    <row r="227" spans="1:7">
      <c r="A227" s="99" t="s">
        <v>3698</v>
      </c>
      <c r="B227" s="113">
        <v>-175400</v>
      </c>
      <c r="C227" s="99">
        <v>1</v>
      </c>
      <c r="D227" s="99">
        <f t="shared" si="8"/>
        <v>611</v>
      </c>
      <c r="E227" s="99">
        <f t="shared" si="7"/>
        <v>0</v>
      </c>
      <c r="F227" s="99">
        <f t="shared" si="5"/>
        <v>-107169400</v>
      </c>
      <c r="G227" s="99" t="s">
        <v>3699</v>
      </c>
    </row>
    <row r="228" spans="1:7">
      <c r="A228" s="99" t="s">
        <v>3702</v>
      </c>
      <c r="B228" s="113">
        <v>-1200500</v>
      </c>
      <c r="C228" s="99">
        <v>0</v>
      </c>
      <c r="D228" s="99">
        <f t="shared" si="8"/>
        <v>610</v>
      </c>
      <c r="E228" s="99">
        <f t="shared" si="7"/>
        <v>0</v>
      </c>
      <c r="F228" s="99">
        <f t="shared" si="5"/>
        <v>-732305000</v>
      </c>
      <c r="G228" s="99" t="s">
        <v>3703</v>
      </c>
    </row>
    <row r="229" spans="1:7">
      <c r="A229" s="99" t="s">
        <v>3702</v>
      </c>
      <c r="B229" s="113">
        <v>-20555</v>
      </c>
      <c r="C229" s="99">
        <v>1</v>
      </c>
      <c r="D229" s="99">
        <f t="shared" si="8"/>
        <v>610</v>
      </c>
      <c r="E229" s="99">
        <f t="shared" si="7"/>
        <v>0</v>
      </c>
      <c r="F229" s="99">
        <f t="shared" si="5"/>
        <v>-12538550</v>
      </c>
      <c r="G229" s="99" t="s">
        <v>654</v>
      </c>
    </row>
    <row r="230" spans="1:7">
      <c r="A230" s="99" t="s">
        <v>3705</v>
      </c>
      <c r="B230" s="113">
        <v>-1014466</v>
      </c>
      <c r="C230" s="99">
        <v>1</v>
      </c>
      <c r="D230" s="99">
        <f t="shared" si="8"/>
        <v>609</v>
      </c>
      <c r="E230" s="99">
        <f t="shared" si="7"/>
        <v>0</v>
      </c>
      <c r="F230" s="99">
        <f t="shared" si="5"/>
        <v>-617809794</v>
      </c>
      <c r="G230" s="99" t="s">
        <v>3706</v>
      </c>
    </row>
    <row r="231" spans="1:7">
      <c r="A231" s="99" t="s">
        <v>3713</v>
      </c>
      <c r="B231" s="113">
        <v>-24225</v>
      </c>
      <c r="C231" s="99">
        <v>1</v>
      </c>
      <c r="D231" s="99">
        <f t="shared" si="8"/>
        <v>608</v>
      </c>
      <c r="E231" s="99">
        <f t="shared" si="7"/>
        <v>0</v>
      </c>
      <c r="F231" s="99">
        <f t="shared" si="5"/>
        <v>-14728800</v>
      </c>
      <c r="G231" s="99" t="s">
        <v>654</v>
      </c>
    </row>
    <row r="232" spans="1:7">
      <c r="A232" s="99" t="s">
        <v>3714</v>
      </c>
      <c r="B232" s="113">
        <v>1100000</v>
      </c>
      <c r="C232" s="99">
        <v>0</v>
      </c>
      <c r="D232" s="99">
        <f t="shared" si="8"/>
        <v>607</v>
      </c>
      <c r="E232" s="99">
        <f t="shared" si="7"/>
        <v>1</v>
      </c>
      <c r="F232" s="99">
        <f t="shared" si="5"/>
        <v>666600000</v>
      </c>
      <c r="G232" s="99" t="s">
        <v>3715</v>
      </c>
    </row>
    <row r="233" spans="1:7">
      <c r="A233" s="99" t="s">
        <v>3714</v>
      </c>
      <c r="B233" s="113">
        <v>-147900</v>
      </c>
      <c r="C233" s="99">
        <v>4</v>
      </c>
      <c r="D233" s="99">
        <f t="shared" si="8"/>
        <v>607</v>
      </c>
      <c r="E233" s="99">
        <f t="shared" si="7"/>
        <v>0</v>
      </c>
      <c r="F233" s="99">
        <f t="shared" si="5"/>
        <v>-89775300</v>
      </c>
      <c r="G233" s="99" t="s">
        <v>3721</v>
      </c>
    </row>
    <row r="234" spans="1:7">
      <c r="A234" s="99" t="s">
        <v>3728</v>
      </c>
      <c r="B234" s="113">
        <v>-67965</v>
      </c>
      <c r="C234" s="99">
        <v>5</v>
      </c>
      <c r="D234" s="99">
        <f t="shared" si="8"/>
        <v>603</v>
      </c>
      <c r="E234" s="99">
        <f t="shared" si="7"/>
        <v>0</v>
      </c>
      <c r="F234" s="99">
        <f t="shared" si="5"/>
        <v>-40982895</v>
      </c>
      <c r="G234" s="99" t="s">
        <v>654</v>
      </c>
    </row>
    <row r="235" spans="1:7">
      <c r="A235" s="99" t="s">
        <v>3754</v>
      </c>
      <c r="B235" s="113">
        <v>-114734</v>
      </c>
      <c r="C235" s="99">
        <v>1</v>
      </c>
      <c r="D235" s="99">
        <f t="shared" si="8"/>
        <v>598</v>
      </c>
      <c r="E235" s="99">
        <f t="shared" si="7"/>
        <v>0</v>
      </c>
      <c r="F235" s="99">
        <f t="shared" si="5"/>
        <v>-68610932</v>
      </c>
      <c r="G235" s="99" t="s">
        <v>3755</v>
      </c>
    </row>
    <row r="236" spans="1:7">
      <c r="A236" s="99" t="s">
        <v>1141</v>
      </c>
      <c r="B236" s="113">
        <v>-360000</v>
      </c>
      <c r="C236" s="99">
        <v>0</v>
      </c>
      <c r="D236" s="99">
        <f t="shared" si="8"/>
        <v>597</v>
      </c>
      <c r="E236" s="99">
        <f t="shared" si="7"/>
        <v>0</v>
      </c>
      <c r="F236" s="99">
        <f t="shared" si="5"/>
        <v>-214920000</v>
      </c>
      <c r="G236" s="99" t="s">
        <v>3756</v>
      </c>
    </row>
    <row r="237" spans="1:7">
      <c r="A237" s="99" t="s">
        <v>1141</v>
      </c>
      <c r="B237" s="113">
        <v>-211000</v>
      </c>
      <c r="C237" s="99">
        <v>0</v>
      </c>
      <c r="D237" s="99">
        <f t="shared" si="8"/>
        <v>597</v>
      </c>
      <c r="E237" s="99">
        <f t="shared" si="7"/>
        <v>0</v>
      </c>
      <c r="F237" s="99">
        <f t="shared" si="5"/>
        <v>-125967000</v>
      </c>
      <c r="G237" s="99" t="s">
        <v>3758</v>
      </c>
    </row>
    <row r="238" spans="1:7">
      <c r="A238" s="99" t="s">
        <v>1141</v>
      </c>
      <c r="B238" s="113">
        <v>-189700</v>
      </c>
      <c r="C238" s="99">
        <v>1</v>
      </c>
      <c r="D238" s="99">
        <f t="shared" si="8"/>
        <v>597</v>
      </c>
      <c r="E238" s="99">
        <f t="shared" si="7"/>
        <v>0</v>
      </c>
      <c r="F238" s="99">
        <f t="shared" si="5"/>
        <v>-113250900</v>
      </c>
      <c r="G238" s="99" t="s">
        <v>3761</v>
      </c>
    </row>
    <row r="239" spans="1:7">
      <c r="A239" s="99" t="s">
        <v>3762</v>
      </c>
      <c r="B239" s="113">
        <v>-400500</v>
      </c>
      <c r="C239" s="99">
        <v>0</v>
      </c>
      <c r="D239" s="99">
        <f t="shared" si="8"/>
        <v>596</v>
      </c>
      <c r="E239" s="99">
        <f t="shared" si="7"/>
        <v>0</v>
      </c>
      <c r="F239" s="99">
        <f t="shared" si="5"/>
        <v>-238698000</v>
      </c>
      <c r="G239" s="99" t="s">
        <v>3763</v>
      </c>
    </row>
    <row r="240" spans="1:7">
      <c r="A240" s="99" t="s">
        <v>3762</v>
      </c>
      <c r="B240" s="113">
        <v>400000</v>
      </c>
      <c r="C240" s="99">
        <v>3</v>
      </c>
      <c r="D240" s="99">
        <f t="shared" si="8"/>
        <v>596</v>
      </c>
      <c r="E240" s="99">
        <f t="shared" si="7"/>
        <v>1</v>
      </c>
      <c r="F240" s="99">
        <f t="shared" si="5"/>
        <v>238000000</v>
      </c>
      <c r="G240" s="99" t="s">
        <v>3764</v>
      </c>
    </row>
    <row r="241" spans="1:7">
      <c r="A241" s="99" t="s">
        <v>3779</v>
      </c>
      <c r="B241" s="113">
        <v>-320875</v>
      </c>
      <c r="C241" s="99">
        <v>7</v>
      </c>
      <c r="D241" s="99">
        <f t="shared" si="8"/>
        <v>593</v>
      </c>
      <c r="E241" s="99">
        <f t="shared" si="7"/>
        <v>0</v>
      </c>
      <c r="F241" s="99">
        <f t="shared" si="5"/>
        <v>-190278875</v>
      </c>
      <c r="G241" s="99" t="s">
        <v>3780</v>
      </c>
    </row>
    <row r="242" spans="1:7">
      <c r="A242" s="99" t="s">
        <v>3789</v>
      </c>
      <c r="B242" s="113">
        <v>6074</v>
      </c>
      <c r="C242" s="99">
        <v>2</v>
      </c>
      <c r="D242" s="99">
        <f t="shared" si="8"/>
        <v>586</v>
      </c>
      <c r="E242" s="99">
        <f t="shared" si="7"/>
        <v>1</v>
      </c>
      <c r="F242" s="99">
        <f t="shared" si="5"/>
        <v>3553290</v>
      </c>
      <c r="G242" s="99" t="s">
        <v>585</v>
      </c>
    </row>
    <row r="243" spans="1:7">
      <c r="A243" s="99" t="s">
        <v>3791</v>
      </c>
      <c r="B243" s="113">
        <v>-370500</v>
      </c>
      <c r="C243" s="99">
        <v>15</v>
      </c>
      <c r="D243" s="99">
        <f t="shared" si="8"/>
        <v>584</v>
      </c>
      <c r="E243" s="99">
        <f t="shared" si="7"/>
        <v>0</v>
      </c>
      <c r="F243" s="99">
        <f t="shared" si="5"/>
        <v>-216372000</v>
      </c>
      <c r="G243" s="99" t="s">
        <v>3792</v>
      </c>
    </row>
    <row r="244" spans="1:7">
      <c r="A244" s="99" t="s">
        <v>3900</v>
      </c>
      <c r="B244" s="113">
        <v>3000000</v>
      </c>
      <c r="C244" s="99">
        <v>2</v>
      </c>
      <c r="D244" s="99">
        <f t="shared" si="8"/>
        <v>569</v>
      </c>
      <c r="E244" s="99">
        <f t="shared" si="7"/>
        <v>1</v>
      </c>
      <c r="F244" s="99">
        <f t="shared" si="5"/>
        <v>1704000000</v>
      </c>
      <c r="G244" s="99" t="s">
        <v>3901</v>
      </c>
    </row>
    <row r="245" spans="1:7">
      <c r="A245" s="99" t="s">
        <v>3908</v>
      </c>
      <c r="B245" s="113">
        <v>-80000</v>
      </c>
      <c r="C245" s="99">
        <v>1</v>
      </c>
      <c r="D245" s="99">
        <f t="shared" si="8"/>
        <v>567</v>
      </c>
      <c r="E245" s="99">
        <f t="shared" si="7"/>
        <v>0</v>
      </c>
      <c r="F245" s="99">
        <f t="shared" si="5"/>
        <v>-45360000</v>
      </c>
      <c r="G245" s="99" t="s">
        <v>502</v>
      </c>
    </row>
    <row r="246" spans="1:7">
      <c r="A246" s="99" t="s">
        <v>3909</v>
      </c>
      <c r="B246" s="113">
        <v>-2700000</v>
      </c>
      <c r="C246" s="99">
        <v>0</v>
      </c>
      <c r="D246" s="99">
        <f t="shared" si="8"/>
        <v>566</v>
      </c>
      <c r="E246" s="99">
        <f t="shared" si="7"/>
        <v>0</v>
      </c>
      <c r="F246" s="99">
        <f t="shared" si="5"/>
        <v>-1528200000</v>
      </c>
      <c r="G246" s="99" t="s">
        <v>3911</v>
      </c>
    </row>
    <row r="247" spans="1:7">
      <c r="A247" s="99" t="s">
        <v>3909</v>
      </c>
      <c r="B247" s="113">
        <v>-30000</v>
      </c>
      <c r="C247" s="99">
        <v>2</v>
      </c>
      <c r="D247" s="99">
        <f t="shared" si="8"/>
        <v>566</v>
      </c>
      <c r="E247" s="99">
        <f t="shared" si="7"/>
        <v>0</v>
      </c>
      <c r="F247" s="99">
        <f t="shared" si="5"/>
        <v>-16980000</v>
      </c>
      <c r="G247" s="99" t="s">
        <v>3911</v>
      </c>
    </row>
    <row r="248" spans="1:7">
      <c r="A248" s="99" t="s">
        <v>3915</v>
      </c>
      <c r="B248" s="113">
        <v>-120000</v>
      </c>
      <c r="C248" s="99">
        <v>1</v>
      </c>
      <c r="D248" s="99">
        <f t="shared" si="8"/>
        <v>564</v>
      </c>
      <c r="E248" s="99">
        <f t="shared" si="7"/>
        <v>0</v>
      </c>
      <c r="F248" s="99">
        <f t="shared" si="5"/>
        <v>-67680000</v>
      </c>
      <c r="G248" s="99" t="s">
        <v>3916</v>
      </c>
    </row>
    <row r="249" spans="1:7">
      <c r="A249" s="74" t="s">
        <v>3933</v>
      </c>
      <c r="B249" s="163">
        <v>-56425</v>
      </c>
      <c r="C249" s="99">
        <v>1</v>
      </c>
      <c r="D249" s="99">
        <f t="shared" si="8"/>
        <v>563</v>
      </c>
      <c r="E249" s="99">
        <f>IF(B250&gt;0,1,0)</f>
        <v>1</v>
      </c>
      <c r="F249" s="99">
        <f t="shared" si="5"/>
        <v>-31710850</v>
      </c>
      <c r="G249" s="74" t="s">
        <v>654</v>
      </c>
    </row>
    <row r="250" spans="1:7">
      <c r="A250" s="99" t="s">
        <v>3923</v>
      </c>
      <c r="B250" s="113">
        <v>800000</v>
      </c>
      <c r="C250" s="99">
        <v>1</v>
      </c>
      <c r="D250" s="99">
        <f t="shared" si="8"/>
        <v>562</v>
      </c>
      <c r="E250" s="99">
        <f>IF(B251&gt;0,1,0)</f>
        <v>0</v>
      </c>
      <c r="F250" s="99">
        <f t="shared" ref="F250:F313" si="9">B250*(D250-E250)</f>
        <v>449600000</v>
      </c>
      <c r="G250" s="99" t="s">
        <v>3888</v>
      </c>
    </row>
    <row r="251" spans="1:7">
      <c r="A251" s="99" t="s">
        <v>3928</v>
      </c>
      <c r="B251" s="113">
        <v>-19450</v>
      </c>
      <c r="C251" s="99">
        <v>0</v>
      </c>
      <c r="D251" s="99">
        <f t="shared" si="8"/>
        <v>561</v>
      </c>
      <c r="E251" s="99">
        <f>IF(B252&gt;0,1,0)</f>
        <v>0</v>
      </c>
      <c r="F251" s="99">
        <f t="shared" si="9"/>
        <v>-10911450</v>
      </c>
      <c r="G251" s="99" t="s">
        <v>3931</v>
      </c>
    </row>
    <row r="252" spans="1:7">
      <c r="A252" s="99" t="s">
        <v>3928</v>
      </c>
      <c r="B252" s="113">
        <v>-500000</v>
      </c>
      <c r="C252" s="99">
        <v>0</v>
      </c>
      <c r="D252" s="99">
        <f t="shared" si="8"/>
        <v>561</v>
      </c>
      <c r="E252" s="99">
        <f>IF(B253&gt;0,1,0)</f>
        <v>1</v>
      </c>
      <c r="F252" s="99">
        <f t="shared" si="9"/>
        <v>-280000000</v>
      </c>
      <c r="G252" s="99" t="s">
        <v>3932</v>
      </c>
    </row>
    <row r="253" spans="1:7">
      <c r="A253" s="99" t="s">
        <v>3928</v>
      </c>
      <c r="B253" s="113">
        <v>500000</v>
      </c>
      <c r="C253" s="99">
        <v>0</v>
      </c>
      <c r="D253" s="99">
        <f t="shared" si="8"/>
        <v>561</v>
      </c>
      <c r="E253" s="99">
        <f t="shared" ref="E253:E275" si="10">IF(B254&gt;0,1,0)</f>
        <v>0</v>
      </c>
      <c r="F253" s="99">
        <f t="shared" si="9"/>
        <v>280500000</v>
      </c>
      <c r="G253" s="99" t="s">
        <v>3932</v>
      </c>
    </row>
    <row r="254" spans="1:7">
      <c r="A254" s="99" t="s">
        <v>3928</v>
      </c>
      <c r="B254" s="113">
        <v>-454613</v>
      </c>
      <c r="C254" s="99">
        <v>1</v>
      </c>
      <c r="D254" s="99">
        <f t="shared" si="8"/>
        <v>561</v>
      </c>
      <c r="E254" s="99">
        <f t="shared" si="10"/>
        <v>0</v>
      </c>
      <c r="F254" s="99">
        <f t="shared" si="9"/>
        <v>-255037893</v>
      </c>
      <c r="G254" s="99" t="s">
        <v>3934</v>
      </c>
    </row>
    <row r="255" spans="1:7">
      <c r="A255" s="99" t="s">
        <v>3936</v>
      </c>
      <c r="B255" s="113">
        <v>-19600</v>
      </c>
      <c r="C255" s="99">
        <v>0</v>
      </c>
      <c r="D255" s="99">
        <f t="shared" si="8"/>
        <v>560</v>
      </c>
      <c r="E255" s="99">
        <f t="shared" si="10"/>
        <v>0</v>
      </c>
      <c r="F255" s="99">
        <f t="shared" si="9"/>
        <v>-10976000</v>
      </c>
      <c r="G255" s="99" t="s">
        <v>3938</v>
      </c>
    </row>
    <row r="256" spans="1:7">
      <c r="A256" s="99" t="s">
        <v>3936</v>
      </c>
      <c r="B256" s="113">
        <v>-25220</v>
      </c>
      <c r="C256" s="99">
        <v>1</v>
      </c>
      <c r="D256" s="99">
        <f t="shared" si="8"/>
        <v>560</v>
      </c>
      <c r="E256" s="99">
        <f t="shared" si="10"/>
        <v>0</v>
      </c>
      <c r="F256" s="99">
        <f t="shared" si="9"/>
        <v>-14123200</v>
      </c>
      <c r="G256" s="99" t="s">
        <v>3755</v>
      </c>
    </row>
    <row r="257" spans="1:11">
      <c r="A257" s="99" t="s">
        <v>3940</v>
      </c>
      <c r="B257" s="113">
        <v>-149500</v>
      </c>
      <c r="C257" s="99">
        <v>0</v>
      </c>
      <c r="D257" s="99">
        <f t="shared" si="8"/>
        <v>559</v>
      </c>
      <c r="E257" s="99">
        <f t="shared" si="10"/>
        <v>0</v>
      </c>
      <c r="F257" s="99">
        <f t="shared" si="9"/>
        <v>-83570500</v>
      </c>
      <c r="G257" s="99" t="s">
        <v>3941</v>
      </c>
    </row>
    <row r="258" spans="1:11">
      <c r="A258" s="99" t="s">
        <v>3940</v>
      </c>
      <c r="B258" s="113">
        <v>-155000</v>
      </c>
      <c r="C258" s="99">
        <v>82</v>
      </c>
      <c r="D258" s="99">
        <f t="shared" si="8"/>
        <v>559</v>
      </c>
      <c r="E258" s="99">
        <f t="shared" si="10"/>
        <v>0</v>
      </c>
      <c r="F258" s="99">
        <f t="shared" si="9"/>
        <v>-86645000</v>
      </c>
      <c r="G258" s="99" t="s">
        <v>3942</v>
      </c>
    </row>
    <row r="259" spans="1:11">
      <c r="A259" s="99" t="s">
        <v>4232</v>
      </c>
      <c r="B259" s="113">
        <v>-5000</v>
      </c>
      <c r="C259" s="99">
        <v>82</v>
      </c>
      <c r="D259" s="99">
        <f t="shared" si="8"/>
        <v>477</v>
      </c>
      <c r="E259" s="99">
        <f t="shared" si="10"/>
        <v>1</v>
      </c>
      <c r="F259" s="99">
        <f t="shared" si="9"/>
        <v>-2380000</v>
      </c>
      <c r="G259" s="99" t="s">
        <v>4239</v>
      </c>
    </row>
    <row r="260" spans="1:11">
      <c r="A260" s="99" t="s">
        <v>4558</v>
      </c>
      <c r="B260" s="113">
        <v>100000</v>
      </c>
      <c r="C260" s="99">
        <v>1</v>
      </c>
      <c r="D260" s="99">
        <f t="shared" si="8"/>
        <v>395</v>
      </c>
      <c r="E260" s="99">
        <f t="shared" si="10"/>
        <v>1</v>
      </c>
      <c r="F260" s="99">
        <f t="shared" si="9"/>
        <v>39400000</v>
      </c>
      <c r="G260" s="99" t="s">
        <v>3888</v>
      </c>
    </row>
    <row r="261" spans="1:11">
      <c r="A261" s="99" t="s">
        <v>992</v>
      </c>
      <c r="B261" s="113">
        <v>3000000</v>
      </c>
      <c r="C261" s="99">
        <v>3</v>
      </c>
      <c r="D261" s="99">
        <f t="shared" si="8"/>
        <v>394</v>
      </c>
      <c r="E261" s="99">
        <f t="shared" si="10"/>
        <v>0</v>
      </c>
      <c r="F261" s="99">
        <f t="shared" si="9"/>
        <v>1182000000</v>
      </c>
      <c r="G261" s="99" t="s">
        <v>3888</v>
      </c>
    </row>
    <row r="262" spans="1:11">
      <c r="A262" s="99" t="s">
        <v>4570</v>
      </c>
      <c r="B262" s="113">
        <v>-66500</v>
      </c>
      <c r="C262" s="99">
        <v>2</v>
      </c>
      <c r="D262" s="99">
        <f t="shared" si="8"/>
        <v>391</v>
      </c>
      <c r="E262" s="99">
        <f t="shared" si="10"/>
        <v>0</v>
      </c>
      <c r="F262" s="99">
        <f t="shared" si="9"/>
        <v>-26001500</v>
      </c>
      <c r="G262" s="99" t="s">
        <v>3961</v>
      </c>
      <c r="K262" t="s">
        <v>25</v>
      </c>
    </row>
    <row r="263" spans="1:11">
      <c r="A263" s="99" t="s">
        <v>4571</v>
      </c>
      <c r="B263" s="113">
        <v>-37878</v>
      </c>
      <c r="C263" s="99">
        <v>2</v>
      </c>
      <c r="D263" s="99">
        <f t="shared" si="8"/>
        <v>389</v>
      </c>
      <c r="E263" s="99">
        <f t="shared" si="10"/>
        <v>0</v>
      </c>
      <c r="F263" s="99">
        <f t="shared" si="9"/>
        <v>-14734542</v>
      </c>
      <c r="G263" s="99" t="s">
        <v>4572</v>
      </c>
      <c r="J263" t="s">
        <v>25</v>
      </c>
      <c r="K263" t="s">
        <v>25</v>
      </c>
    </row>
    <row r="264" spans="1:11">
      <c r="A264" s="99" t="s">
        <v>4567</v>
      </c>
      <c r="B264" s="113">
        <v>-41500</v>
      </c>
      <c r="C264" s="99">
        <v>3</v>
      </c>
      <c r="D264" s="99">
        <f t="shared" si="8"/>
        <v>387</v>
      </c>
      <c r="E264" s="99">
        <f t="shared" si="10"/>
        <v>0</v>
      </c>
      <c r="F264" s="99">
        <f t="shared" si="9"/>
        <v>-16060500</v>
      </c>
      <c r="G264" s="99" t="s">
        <v>1037</v>
      </c>
      <c r="J264" t="s">
        <v>25</v>
      </c>
    </row>
    <row r="265" spans="1:11">
      <c r="A265" s="99" t="s">
        <v>4598</v>
      </c>
      <c r="B265" s="113">
        <v>-190000</v>
      </c>
      <c r="C265" s="99">
        <v>1</v>
      </c>
      <c r="D265" s="99">
        <f t="shared" si="8"/>
        <v>384</v>
      </c>
      <c r="E265" s="99">
        <f t="shared" si="10"/>
        <v>0</v>
      </c>
      <c r="F265" s="99">
        <f t="shared" si="9"/>
        <v>-72960000</v>
      </c>
      <c r="G265" s="99"/>
    </row>
    <row r="266" spans="1:11">
      <c r="A266" s="99" t="s">
        <v>4597</v>
      </c>
      <c r="B266" s="113">
        <v>-55000</v>
      </c>
      <c r="C266" s="99">
        <v>1</v>
      </c>
      <c r="D266" s="99">
        <f t="shared" si="8"/>
        <v>383</v>
      </c>
      <c r="E266" s="99">
        <f t="shared" si="10"/>
        <v>0</v>
      </c>
      <c r="F266" s="99">
        <f t="shared" si="9"/>
        <v>-21065000</v>
      </c>
      <c r="G266" s="99"/>
    </row>
    <row r="267" spans="1:11">
      <c r="A267" s="99" t="s">
        <v>4586</v>
      </c>
      <c r="B267" s="113">
        <v>-29395</v>
      </c>
      <c r="C267" s="99">
        <v>2</v>
      </c>
      <c r="D267" s="99">
        <f t="shared" si="8"/>
        <v>382</v>
      </c>
      <c r="E267" s="99">
        <f t="shared" si="10"/>
        <v>0</v>
      </c>
      <c r="F267" s="99">
        <f t="shared" si="9"/>
        <v>-11228890</v>
      </c>
      <c r="G267" s="99"/>
    </row>
    <row r="268" spans="1:11">
      <c r="A268" s="99" t="s">
        <v>4225</v>
      </c>
      <c r="B268" s="113">
        <v>-50000</v>
      </c>
      <c r="C268" s="99">
        <v>1</v>
      </c>
      <c r="D268" s="99">
        <f t="shared" si="8"/>
        <v>380</v>
      </c>
      <c r="E268" s="99">
        <f t="shared" si="10"/>
        <v>0</v>
      </c>
      <c r="F268" s="99">
        <f t="shared" si="9"/>
        <v>-19000000</v>
      </c>
      <c r="G268" s="99"/>
    </row>
    <row r="269" spans="1:11">
      <c r="A269" s="99" t="s">
        <v>4600</v>
      </c>
      <c r="B269" s="113">
        <v>-80000</v>
      </c>
      <c r="C269" s="99">
        <v>1</v>
      </c>
      <c r="D269" s="99">
        <f t="shared" si="8"/>
        <v>379</v>
      </c>
      <c r="E269" s="99">
        <f t="shared" si="10"/>
        <v>0</v>
      </c>
      <c r="F269" s="99">
        <f t="shared" si="9"/>
        <v>-30320000</v>
      </c>
      <c r="G269" s="99"/>
    </row>
    <row r="270" spans="1:11">
      <c r="A270" s="99" t="s">
        <v>3688</v>
      </c>
      <c r="B270" s="113">
        <v>-98909</v>
      </c>
      <c r="C270" s="99">
        <v>3</v>
      </c>
      <c r="D270" s="99">
        <f t="shared" si="8"/>
        <v>378</v>
      </c>
      <c r="E270" s="99">
        <f t="shared" si="10"/>
        <v>0</v>
      </c>
      <c r="F270" s="99">
        <f t="shared" si="9"/>
        <v>-37387602</v>
      </c>
      <c r="G270" s="99"/>
    </row>
    <row r="271" spans="1:11">
      <c r="A271" s="99" t="s">
        <v>4605</v>
      </c>
      <c r="B271" s="113">
        <v>-9380</v>
      </c>
      <c r="C271" s="99">
        <v>0</v>
      </c>
      <c r="D271" s="99">
        <f t="shared" si="8"/>
        <v>375</v>
      </c>
      <c r="E271" s="99">
        <f t="shared" si="10"/>
        <v>0</v>
      </c>
      <c r="F271" s="99">
        <f t="shared" si="9"/>
        <v>-3517500</v>
      </c>
      <c r="G271" s="99"/>
    </row>
    <row r="272" spans="1:11">
      <c r="A272" s="99" t="s">
        <v>4605</v>
      </c>
      <c r="B272" s="113">
        <v>-2400000</v>
      </c>
      <c r="C272" s="99">
        <v>3</v>
      </c>
      <c r="D272" s="99">
        <f t="shared" si="8"/>
        <v>375</v>
      </c>
      <c r="E272" s="99">
        <f t="shared" si="10"/>
        <v>1</v>
      </c>
      <c r="F272" s="99">
        <f t="shared" si="9"/>
        <v>-897600000</v>
      </c>
      <c r="G272" s="99"/>
    </row>
    <row r="273" spans="1:11">
      <c r="A273" s="99" t="s">
        <v>4615</v>
      </c>
      <c r="B273" s="113">
        <v>15000</v>
      </c>
      <c r="C273" s="99">
        <v>93</v>
      </c>
      <c r="D273" s="99">
        <f t="shared" si="8"/>
        <v>372</v>
      </c>
      <c r="E273" s="99">
        <f t="shared" si="10"/>
        <v>1</v>
      </c>
      <c r="F273" s="99">
        <f t="shared" si="9"/>
        <v>5565000</v>
      </c>
      <c r="G273" s="99"/>
    </row>
    <row r="274" spans="1:11">
      <c r="A274" s="99" t="s">
        <v>4902</v>
      </c>
      <c r="B274" s="113">
        <v>3500000</v>
      </c>
      <c r="C274" s="99">
        <v>0</v>
      </c>
      <c r="D274" s="99">
        <f t="shared" si="8"/>
        <v>279</v>
      </c>
      <c r="E274" s="99">
        <f t="shared" si="10"/>
        <v>0</v>
      </c>
      <c r="F274" s="99">
        <f t="shared" si="9"/>
        <v>976500000</v>
      </c>
      <c r="G274" s="99"/>
    </row>
    <row r="275" spans="1:11">
      <c r="A275" s="99" t="s">
        <v>4902</v>
      </c>
      <c r="B275" s="113">
        <v>-224012</v>
      </c>
      <c r="C275" s="99">
        <v>2</v>
      </c>
      <c r="D275" s="99">
        <f t="shared" si="8"/>
        <v>279</v>
      </c>
      <c r="E275" s="99">
        <f t="shared" si="10"/>
        <v>0</v>
      </c>
      <c r="F275" s="99">
        <f t="shared" si="9"/>
        <v>-62499348</v>
      </c>
      <c r="G275" s="99"/>
    </row>
    <row r="276" spans="1:11">
      <c r="A276" s="99" t="s">
        <v>4922</v>
      </c>
      <c r="B276" s="113">
        <v>-104671</v>
      </c>
      <c r="C276" s="99">
        <v>1</v>
      </c>
      <c r="D276" s="99">
        <f t="shared" ref="D276:D280" si="11">D277+C276</f>
        <v>277</v>
      </c>
      <c r="E276" s="99">
        <f t="shared" ref="E276:E280" si="12">IF(B277&gt;0,1,0)</f>
        <v>0</v>
      </c>
      <c r="F276" s="99">
        <f t="shared" si="9"/>
        <v>-28993867</v>
      </c>
      <c r="G276" s="99"/>
    </row>
    <row r="277" spans="1:11">
      <c r="A277" s="99" t="s">
        <v>4924</v>
      </c>
      <c r="B277" s="113">
        <v>-272000</v>
      </c>
      <c r="C277" s="99">
        <v>1</v>
      </c>
      <c r="D277" s="99">
        <f t="shared" si="11"/>
        <v>276</v>
      </c>
      <c r="E277" s="99">
        <f t="shared" si="12"/>
        <v>0</v>
      </c>
      <c r="F277" s="99">
        <f t="shared" si="9"/>
        <v>-75072000</v>
      </c>
      <c r="G277" s="99"/>
    </row>
    <row r="278" spans="1:11">
      <c r="A278" s="99" t="s">
        <v>4926</v>
      </c>
      <c r="B278" s="113">
        <v>-2565078</v>
      </c>
      <c r="C278" s="99">
        <v>2</v>
      </c>
      <c r="D278" s="99">
        <f t="shared" si="11"/>
        <v>275</v>
      </c>
      <c r="E278" s="99">
        <f t="shared" si="12"/>
        <v>0</v>
      </c>
      <c r="F278" s="99">
        <f t="shared" si="9"/>
        <v>-705396450</v>
      </c>
      <c r="G278" s="99"/>
    </row>
    <row r="279" spans="1:11">
      <c r="A279" s="99" t="s">
        <v>4874</v>
      </c>
      <c r="B279" s="113">
        <v>-213500</v>
      </c>
      <c r="C279" s="99">
        <v>1</v>
      </c>
      <c r="D279" s="99">
        <f t="shared" si="11"/>
        <v>273</v>
      </c>
      <c r="E279" s="99">
        <f t="shared" si="12"/>
        <v>0</v>
      </c>
      <c r="F279" s="99">
        <f t="shared" si="9"/>
        <v>-58285500</v>
      </c>
      <c r="G279" s="99"/>
    </row>
    <row r="280" spans="1:11">
      <c r="A280" s="99" t="s">
        <v>4943</v>
      </c>
      <c r="B280" s="113">
        <v>-3810</v>
      </c>
      <c r="C280" s="99">
        <v>1</v>
      </c>
      <c r="D280" s="99">
        <f t="shared" si="11"/>
        <v>272</v>
      </c>
      <c r="E280" s="99">
        <f t="shared" si="12"/>
        <v>0</v>
      </c>
      <c r="F280" s="99">
        <f t="shared" si="9"/>
        <v>-1036320</v>
      </c>
      <c r="G280" s="99"/>
      <c r="J280" t="s">
        <v>25</v>
      </c>
    </row>
    <row r="281" spans="1:11">
      <c r="A281" s="99" t="s">
        <v>4944</v>
      </c>
      <c r="B281" s="113">
        <v>-120632</v>
      </c>
      <c r="C281" s="99">
        <v>1</v>
      </c>
      <c r="D281" s="99">
        <f t="shared" ref="D281:D288" si="13">D282+C281</f>
        <v>271</v>
      </c>
      <c r="E281" s="99">
        <f t="shared" ref="E281:E288" si="14">IF(B282&gt;0,1,0)</f>
        <v>1</v>
      </c>
      <c r="F281" s="99">
        <f t="shared" si="9"/>
        <v>-32570640</v>
      </c>
      <c r="G281" s="99"/>
      <c r="J281" t="s">
        <v>25</v>
      </c>
    </row>
    <row r="282" spans="1:11">
      <c r="A282" s="99" t="s">
        <v>4932</v>
      </c>
      <c r="B282" s="113">
        <v>80000</v>
      </c>
      <c r="C282" s="99">
        <v>0</v>
      </c>
      <c r="D282" s="99">
        <f t="shared" si="13"/>
        <v>270</v>
      </c>
      <c r="E282" s="99">
        <f t="shared" si="14"/>
        <v>0</v>
      </c>
      <c r="F282" s="99">
        <f t="shared" si="9"/>
        <v>21600000</v>
      </c>
      <c r="G282" s="99"/>
    </row>
    <row r="283" spans="1:11">
      <c r="A283" s="99" t="s">
        <v>4932</v>
      </c>
      <c r="B283" s="113">
        <v>-2500</v>
      </c>
      <c r="C283" s="99">
        <v>1</v>
      </c>
      <c r="D283" s="99">
        <f t="shared" si="13"/>
        <v>270</v>
      </c>
      <c r="E283" s="99">
        <f t="shared" si="14"/>
        <v>0</v>
      </c>
      <c r="F283" s="99">
        <f t="shared" si="9"/>
        <v>-675000</v>
      </c>
      <c r="G283" s="99"/>
      <c r="J283" s="114">
        <f>B392-498804</f>
        <v>5743999</v>
      </c>
    </row>
    <row r="284" spans="1:11">
      <c r="A284" s="99" t="s">
        <v>4937</v>
      </c>
      <c r="B284" s="113">
        <v>-30000</v>
      </c>
      <c r="C284" s="99">
        <v>1</v>
      </c>
      <c r="D284" s="99">
        <f t="shared" si="13"/>
        <v>269</v>
      </c>
      <c r="E284" s="99">
        <f t="shared" si="14"/>
        <v>0</v>
      </c>
      <c r="F284" s="99">
        <f t="shared" si="9"/>
        <v>-8070000</v>
      </c>
      <c r="G284" s="99"/>
    </row>
    <row r="285" spans="1:11">
      <c r="A285" s="99" t="s">
        <v>4945</v>
      </c>
      <c r="B285" s="113">
        <v>-19800</v>
      </c>
      <c r="C285" s="99">
        <v>1</v>
      </c>
      <c r="D285" s="99">
        <f t="shared" si="13"/>
        <v>268</v>
      </c>
      <c r="E285" s="99">
        <f t="shared" si="14"/>
        <v>1</v>
      </c>
      <c r="F285" s="99">
        <f t="shared" si="9"/>
        <v>-5286600</v>
      </c>
      <c r="G285" s="99"/>
      <c r="K285" t="s">
        <v>25</v>
      </c>
    </row>
    <row r="286" spans="1:11">
      <c r="A286" s="99" t="s">
        <v>4936</v>
      </c>
      <c r="B286" s="113">
        <v>940000</v>
      </c>
      <c r="C286" s="99">
        <v>0</v>
      </c>
      <c r="D286" s="99">
        <f t="shared" si="13"/>
        <v>267</v>
      </c>
      <c r="E286" s="99">
        <f t="shared" si="14"/>
        <v>0</v>
      </c>
      <c r="F286" s="99">
        <f t="shared" si="9"/>
        <v>250980000</v>
      </c>
      <c r="G286" s="99"/>
    </row>
    <row r="287" spans="1:11">
      <c r="A287" s="99" t="s">
        <v>4936</v>
      </c>
      <c r="B287" s="113">
        <v>-201000</v>
      </c>
      <c r="C287" s="99">
        <v>1</v>
      </c>
      <c r="D287" s="99">
        <f t="shared" si="13"/>
        <v>267</v>
      </c>
      <c r="E287" s="99">
        <f t="shared" si="14"/>
        <v>0</v>
      </c>
      <c r="F287" s="99">
        <f t="shared" si="9"/>
        <v>-53667000</v>
      </c>
      <c r="G287" s="99"/>
    </row>
    <row r="288" spans="1:11">
      <c r="A288" s="99" t="s">
        <v>4941</v>
      </c>
      <c r="B288" s="113">
        <v>-320930</v>
      </c>
      <c r="C288" s="99">
        <v>3</v>
      </c>
      <c r="D288" s="99">
        <f t="shared" si="13"/>
        <v>266</v>
      </c>
      <c r="E288" s="99">
        <f t="shared" si="14"/>
        <v>0</v>
      </c>
      <c r="F288" s="99">
        <f t="shared" si="9"/>
        <v>-85367380</v>
      </c>
      <c r="G288" s="99"/>
    </row>
    <row r="289" spans="1:10">
      <c r="A289" s="99" t="s">
        <v>4942</v>
      </c>
      <c r="B289" s="113">
        <v>-400000</v>
      </c>
      <c r="C289" s="99">
        <v>1</v>
      </c>
      <c r="D289" s="99">
        <f t="shared" ref="D289:D306" si="15">D290+C289</f>
        <v>263</v>
      </c>
      <c r="E289" s="99">
        <f t="shared" ref="E289:E306" si="16">IF(B290&gt;0,1,0)</f>
        <v>0</v>
      </c>
      <c r="F289" s="99">
        <f t="shared" si="9"/>
        <v>-105200000</v>
      </c>
      <c r="G289" s="99"/>
    </row>
    <row r="290" spans="1:10">
      <c r="A290" s="99" t="s">
        <v>4949</v>
      </c>
      <c r="B290" s="113">
        <v>-16500</v>
      </c>
      <c r="C290" s="99">
        <v>11</v>
      </c>
      <c r="D290" s="99">
        <f t="shared" si="15"/>
        <v>262</v>
      </c>
      <c r="E290" s="99">
        <f t="shared" si="16"/>
        <v>1</v>
      </c>
      <c r="F290" s="99">
        <f t="shared" si="9"/>
        <v>-4306500</v>
      </c>
      <c r="G290" s="99"/>
    </row>
    <row r="291" spans="1:10">
      <c r="A291" s="99" t="s">
        <v>4971</v>
      </c>
      <c r="B291" s="113">
        <v>2600000</v>
      </c>
      <c r="C291" s="99">
        <v>2</v>
      </c>
      <c r="D291" s="99">
        <f t="shared" si="15"/>
        <v>251</v>
      </c>
      <c r="E291" s="99">
        <f t="shared" si="16"/>
        <v>0</v>
      </c>
      <c r="F291" s="99">
        <f t="shared" si="9"/>
        <v>652600000</v>
      </c>
      <c r="G291" s="99"/>
      <c r="I291" t="s">
        <v>25</v>
      </c>
    </row>
    <row r="292" spans="1:10">
      <c r="A292" s="99" t="s">
        <v>4972</v>
      </c>
      <c r="B292" s="113">
        <v>-1170000</v>
      </c>
      <c r="C292" s="99">
        <v>0</v>
      </c>
      <c r="D292" s="99">
        <f t="shared" si="15"/>
        <v>249</v>
      </c>
      <c r="E292" s="99">
        <f t="shared" si="16"/>
        <v>0</v>
      </c>
      <c r="F292" s="99">
        <f t="shared" si="9"/>
        <v>-291330000</v>
      </c>
      <c r="G292" s="99" t="s">
        <v>4973</v>
      </c>
      <c r="J292" t="s">
        <v>25</v>
      </c>
    </row>
    <row r="293" spans="1:10">
      <c r="A293" s="99" t="s">
        <v>4972</v>
      </c>
      <c r="B293" s="113">
        <v>-9000</v>
      </c>
      <c r="C293" s="99">
        <v>1</v>
      </c>
      <c r="D293" s="99">
        <f t="shared" si="15"/>
        <v>249</v>
      </c>
      <c r="E293" s="99">
        <f t="shared" si="16"/>
        <v>0</v>
      </c>
      <c r="F293" s="99">
        <f t="shared" si="9"/>
        <v>-2241000</v>
      </c>
      <c r="G293" s="99"/>
    </row>
    <row r="294" spans="1:10">
      <c r="A294" s="99" t="s">
        <v>4974</v>
      </c>
      <c r="B294" s="113">
        <v>-1145000</v>
      </c>
      <c r="C294" s="99">
        <v>0</v>
      </c>
      <c r="D294" s="99">
        <f t="shared" si="15"/>
        <v>248</v>
      </c>
      <c r="E294" s="99">
        <f t="shared" si="16"/>
        <v>0</v>
      </c>
      <c r="F294" s="99">
        <f t="shared" si="9"/>
        <v>-283960000</v>
      </c>
      <c r="G294" s="99" t="s">
        <v>4975</v>
      </c>
    </row>
    <row r="295" spans="1:10">
      <c r="A295" s="99" t="s">
        <v>4974</v>
      </c>
      <c r="B295" s="113">
        <v>-94549</v>
      </c>
      <c r="C295" s="99">
        <v>2</v>
      </c>
      <c r="D295" s="99">
        <f t="shared" si="15"/>
        <v>248</v>
      </c>
      <c r="E295" s="99">
        <f t="shared" si="16"/>
        <v>0</v>
      </c>
      <c r="F295" s="99">
        <f t="shared" si="9"/>
        <v>-23448152</v>
      </c>
      <c r="G295" s="99" t="s">
        <v>506</v>
      </c>
      <c r="J295" t="s">
        <v>25</v>
      </c>
    </row>
    <row r="296" spans="1:10">
      <c r="A296" s="99" t="s">
        <v>5170</v>
      </c>
      <c r="B296" s="113">
        <v>-3500</v>
      </c>
      <c r="C296" s="99">
        <v>1</v>
      </c>
      <c r="D296" s="99">
        <f t="shared" si="15"/>
        <v>246</v>
      </c>
      <c r="E296" s="99">
        <f t="shared" si="16"/>
        <v>0</v>
      </c>
      <c r="F296" s="99">
        <f t="shared" si="9"/>
        <v>-861000</v>
      </c>
      <c r="G296" s="99"/>
      <c r="I296" s="114">
        <f>B392-735892</f>
        <v>5506911</v>
      </c>
    </row>
    <row r="297" spans="1:10">
      <c r="A297" s="99" t="s">
        <v>4983</v>
      </c>
      <c r="B297" s="113">
        <v>-44900</v>
      </c>
      <c r="C297" s="99">
        <v>0</v>
      </c>
      <c r="D297" s="99">
        <f t="shared" si="15"/>
        <v>245</v>
      </c>
      <c r="E297" s="99">
        <f t="shared" si="16"/>
        <v>0</v>
      </c>
      <c r="F297" s="99">
        <f t="shared" si="9"/>
        <v>-11000500</v>
      </c>
      <c r="G297" s="99"/>
    </row>
    <row r="298" spans="1:10">
      <c r="A298" s="99" t="s">
        <v>4983</v>
      </c>
      <c r="B298" s="113">
        <v>-50000</v>
      </c>
      <c r="C298" s="99">
        <v>10</v>
      </c>
      <c r="D298" s="99">
        <f t="shared" si="15"/>
        <v>245</v>
      </c>
      <c r="E298" s="99">
        <f t="shared" si="16"/>
        <v>0</v>
      </c>
      <c r="F298" s="99">
        <f t="shared" si="9"/>
        <v>-12250000</v>
      </c>
      <c r="G298" s="99" t="s">
        <v>506</v>
      </c>
    </row>
    <row r="299" spans="1:10">
      <c r="A299" s="99" t="s">
        <v>5003</v>
      </c>
      <c r="B299" s="113">
        <v>-19850</v>
      </c>
      <c r="C299" s="99">
        <v>1</v>
      </c>
      <c r="D299" s="99">
        <f t="shared" si="15"/>
        <v>235</v>
      </c>
      <c r="E299" s="99">
        <f t="shared" si="16"/>
        <v>0</v>
      </c>
      <c r="F299" s="99">
        <f t="shared" si="9"/>
        <v>-4664750</v>
      </c>
      <c r="G299" s="99"/>
    </row>
    <row r="300" spans="1:10">
      <c r="A300" s="99" t="s">
        <v>5004</v>
      </c>
      <c r="B300" s="113">
        <v>-39770</v>
      </c>
      <c r="C300" s="99">
        <v>6</v>
      </c>
      <c r="D300" s="99">
        <f t="shared" si="15"/>
        <v>234</v>
      </c>
      <c r="E300" s="99">
        <f t="shared" si="16"/>
        <v>0</v>
      </c>
      <c r="F300" s="99">
        <f t="shared" si="9"/>
        <v>-9306180</v>
      </c>
      <c r="G300" s="99"/>
    </row>
    <row r="301" spans="1:10">
      <c r="A301" s="99" t="s">
        <v>5028</v>
      </c>
      <c r="B301" s="113">
        <v>-40000</v>
      </c>
      <c r="C301" s="99">
        <v>71</v>
      </c>
      <c r="D301" s="99">
        <f t="shared" si="15"/>
        <v>228</v>
      </c>
      <c r="E301" s="99">
        <f t="shared" si="16"/>
        <v>1</v>
      </c>
      <c r="F301" s="99">
        <f t="shared" si="9"/>
        <v>-9080000</v>
      </c>
      <c r="G301" s="99"/>
    </row>
    <row r="302" spans="1:10">
      <c r="A302" s="99" t="s">
        <v>5156</v>
      </c>
      <c r="B302" s="113">
        <v>4000000</v>
      </c>
      <c r="C302" s="99">
        <v>1</v>
      </c>
      <c r="D302" s="99">
        <f t="shared" si="15"/>
        <v>157</v>
      </c>
      <c r="E302" s="99">
        <f t="shared" si="16"/>
        <v>0</v>
      </c>
      <c r="F302" s="99">
        <f t="shared" si="9"/>
        <v>628000000</v>
      </c>
      <c r="G302" s="99"/>
    </row>
    <row r="303" spans="1:10">
      <c r="A303" s="99" t="s">
        <v>5161</v>
      </c>
      <c r="B303" s="113">
        <v>-123860</v>
      </c>
      <c r="C303" s="99">
        <v>1</v>
      </c>
      <c r="D303" s="99">
        <f t="shared" si="15"/>
        <v>156</v>
      </c>
      <c r="E303" s="99">
        <f t="shared" si="16"/>
        <v>0</v>
      </c>
      <c r="F303" s="99">
        <f t="shared" si="9"/>
        <v>-19322160</v>
      </c>
      <c r="G303" s="99"/>
    </row>
    <row r="304" spans="1:10">
      <c r="A304" s="99" t="s">
        <v>5120</v>
      </c>
      <c r="B304" s="113">
        <v>-1660000</v>
      </c>
      <c r="C304" s="99">
        <v>1</v>
      </c>
      <c r="D304" s="99">
        <f t="shared" si="15"/>
        <v>155</v>
      </c>
      <c r="E304" s="99">
        <f t="shared" si="16"/>
        <v>0</v>
      </c>
      <c r="F304" s="99">
        <f t="shared" si="9"/>
        <v>-257300000</v>
      </c>
      <c r="G304" s="99"/>
    </row>
    <row r="305" spans="1:11">
      <c r="A305" s="99" t="s">
        <v>5168</v>
      </c>
      <c r="B305" s="113">
        <v>-63857</v>
      </c>
      <c r="C305" s="99">
        <v>0</v>
      </c>
      <c r="D305" s="99">
        <f t="shared" si="15"/>
        <v>154</v>
      </c>
      <c r="E305" s="99">
        <f t="shared" si="16"/>
        <v>0</v>
      </c>
      <c r="F305" s="99">
        <f t="shared" si="9"/>
        <v>-9833978</v>
      </c>
      <c r="G305" s="99"/>
    </row>
    <row r="306" spans="1:11">
      <c r="A306" s="99" t="s">
        <v>5171</v>
      </c>
      <c r="B306" s="113">
        <v>-631</v>
      </c>
      <c r="C306" s="99">
        <v>2</v>
      </c>
      <c r="D306" s="99">
        <f t="shared" si="15"/>
        <v>154</v>
      </c>
      <c r="E306" s="99">
        <f t="shared" si="16"/>
        <v>0</v>
      </c>
      <c r="F306" s="99">
        <f t="shared" si="9"/>
        <v>-97174</v>
      </c>
      <c r="G306" s="99" t="s">
        <v>506</v>
      </c>
      <c r="J306" t="s">
        <v>25</v>
      </c>
    </row>
    <row r="307" spans="1:11">
      <c r="A307" s="99" t="s">
        <v>5176</v>
      </c>
      <c r="B307" s="113">
        <v>-248905</v>
      </c>
      <c r="C307" s="99">
        <v>2</v>
      </c>
      <c r="D307" s="99">
        <f t="shared" ref="D307:D318" si="17">D308+C307</f>
        <v>152</v>
      </c>
      <c r="E307" s="99">
        <f t="shared" ref="E307:E318" si="18">IF(B308&gt;0,1,0)</f>
        <v>0</v>
      </c>
      <c r="F307" s="99">
        <f t="shared" si="9"/>
        <v>-37833560</v>
      </c>
      <c r="G307" s="99"/>
    </row>
    <row r="308" spans="1:11">
      <c r="A308" s="99" t="s">
        <v>5174</v>
      </c>
      <c r="B308" s="113">
        <v>-200000</v>
      </c>
      <c r="C308" s="99">
        <v>0</v>
      </c>
      <c r="D308" s="99">
        <f t="shared" si="17"/>
        <v>150</v>
      </c>
      <c r="E308" s="99">
        <f t="shared" si="18"/>
        <v>0</v>
      </c>
      <c r="F308" s="99">
        <f t="shared" si="9"/>
        <v>-30000000</v>
      </c>
      <c r="G308" s="99"/>
    </row>
    <row r="309" spans="1:11">
      <c r="A309" s="99" t="s">
        <v>5174</v>
      </c>
      <c r="B309" s="113">
        <v>-200000</v>
      </c>
      <c r="C309" s="99">
        <v>3</v>
      </c>
      <c r="D309" s="99">
        <f t="shared" si="17"/>
        <v>150</v>
      </c>
      <c r="E309" s="99">
        <f t="shared" si="18"/>
        <v>0</v>
      </c>
      <c r="F309" s="99">
        <f t="shared" si="9"/>
        <v>-30000000</v>
      </c>
      <c r="G309" s="99"/>
    </row>
    <row r="310" spans="1:11">
      <c r="A310" s="99" t="s">
        <v>5183</v>
      </c>
      <c r="B310" s="113">
        <v>-832590</v>
      </c>
      <c r="C310" s="99">
        <v>0</v>
      </c>
      <c r="D310" s="99">
        <f t="shared" si="17"/>
        <v>147</v>
      </c>
      <c r="E310" s="99">
        <f t="shared" si="18"/>
        <v>0</v>
      </c>
      <c r="F310" s="99">
        <f t="shared" si="9"/>
        <v>-122390730</v>
      </c>
      <c r="G310" s="99"/>
    </row>
    <row r="311" spans="1:11">
      <c r="A311" s="99" t="s">
        <v>5183</v>
      </c>
      <c r="B311" s="113">
        <v>-29950</v>
      </c>
      <c r="C311" s="99">
        <v>1</v>
      </c>
      <c r="D311" s="99">
        <f t="shared" si="17"/>
        <v>147</v>
      </c>
      <c r="E311" s="99">
        <f t="shared" si="18"/>
        <v>0</v>
      </c>
      <c r="F311" s="99">
        <f t="shared" si="9"/>
        <v>-4402650</v>
      </c>
      <c r="G311" s="99"/>
      <c r="K311" t="s">
        <v>25</v>
      </c>
    </row>
    <row r="312" spans="1:11">
      <c r="A312" s="99" t="s">
        <v>5235</v>
      </c>
      <c r="B312" s="113">
        <v>-8500</v>
      </c>
      <c r="C312" s="99">
        <v>1</v>
      </c>
      <c r="D312" s="99">
        <f t="shared" si="17"/>
        <v>146</v>
      </c>
      <c r="E312" s="99">
        <f t="shared" si="18"/>
        <v>0</v>
      </c>
      <c r="F312" s="99">
        <f t="shared" si="9"/>
        <v>-1241000</v>
      </c>
      <c r="G312" s="99"/>
    </row>
    <row r="313" spans="1:11">
      <c r="A313" s="99" t="s">
        <v>5202</v>
      </c>
      <c r="B313" s="113">
        <v>-116300</v>
      </c>
      <c r="C313" s="99">
        <v>1</v>
      </c>
      <c r="D313" s="99">
        <f t="shared" si="17"/>
        <v>145</v>
      </c>
      <c r="E313" s="99">
        <f t="shared" si="18"/>
        <v>0</v>
      </c>
      <c r="F313" s="99">
        <f t="shared" si="9"/>
        <v>-16863500</v>
      </c>
      <c r="G313" s="99"/>
    </row>
    <row r="314" spans="1:11">
      <c r="A314" s="99" t="s">
        <v>5186</v>
      </c>
      <c r="B314" s="113">
        <v>-75500</v>
      </c>
      <c r="C314" s="99">
        <v>1</v>
      </c>
      <c r="D314" s="99">
        <f t="shared" si="17"/>
        <v>144</v>
      </c>
      <c r="E314" s="99">
        <f t="shared" si="18"/>
        <v>0</v>
      </c>
      <c r="F314" s="99">
        <f t="shared" ref="F314:F331" si="19">B314*(D314-E314)</f>
        <v>-10872000</v>
      </c>
      <c r="G314" s="99"/>
    </row>
    <row r="315" spans="1:11">
      <c r="A315" s="99" t="s">
        <v>5196</v>
      </c>
      <c r="B315" s="113">
        <v>-331250</v>
      </c>
      <c r="C315" s="99">
        <v>2</v>
      </c>
      <c r="D315" s="99">
        <f t="shared" si="17"/>
        <v>143</v>
      </c>
      <c r="E315" s="99">
        <f t="shared" si="18"/>
        <v>0</v>
      </c>
      <c r="F315" s="99">
        <f t="shared" si="19"/>
        <v>-47368750</v>
      </c>
      <c r="G315" s="99"/>
    </row>
    <row r="316" spans="1:11">
      <c r="A316" s="99" t="s">
        <v>5236</v>
      </c>
      <c r="B316" s="113">
        <v>-39000</v>
      </c>
      <c r="C316" s="99">
        <v>1</v>
      </c>
      <c r="D316" s="99">
        <f t="shared" si="17"/>
        <v>141</v>
      </c>
      <c r="E316" s="99">
        <f t="shared" si="18"/>
        <v>0</v>
      </c>
      <c r="F316" s="99">
        <f t="shared" si="19"/>
        <v>-5499000</v>
      </c>
      <c r="G316" s="99"/>
      <c r="I316" s="114"/>
    </row>
    <row r="317" spans="1:11">
      <c r="A317" s="99" t="s">
        <v>5198</v>
      </c>
      <c r="B317" s="113">
        <v>-44000</v>
      </c>
      <c r="C317" s="99">
        <v>3</v>
      </c>
      <c r="D317" s="99">
        <f t="shared" si="17"/>
        <v>140</v>
      </c>
      <c r="E317" s="99">
        <f t="shared" si="18"/>
        <v>0</v>
      </c>
      <c r="F317" s="99">
        <f t="shared" si="19"/>
        <v>-6160000</v>
      </c>
      <c r="G317" s="99"/>
      <c r="J317" t="s">
        <v>25</v>
      </c>
    </row>
    <row r="318" spans="1:11">
      <c r="A318" s="99" t="s">
        <v>5136</v>
      </c>
      <c r="B318" s="113">
        <v>-30476</v>
      </c>
      <c r="C318" s="99">
        <v>1</v>
      </c>
      <c r="D318" s="99">
        <f t="shared" si="17"/>
        <v>137</v>
      </c>
      <c r="E318" s="99">
        <f t="shared" si="18"/>
        <v>0</v>
      </c>
      <c r="F318" s="99">
        <f t="shared" si="19"/>
        <v>-4175212</v>
      </c>
      <c r="G318" s="99"/>
    </row>
    <row r="319" spans="1:11">
      <c r="A319" s="99" t="s">
        <v>5207</v>
      </c>
      <c r="B319" s="113">
        <v>-4000</v>
      </c>
      <c r="C319" s="99">
        <v>11</v>
      </c>
      <c r="D319" s="99">
        <f t="shared" ref="D319:D326" si="20">D320+C319</f>
        <v>136</v>
      </c>
      <c r="E319" s="99">
        <f t="shared" ref="E319:E326" si="21">IF(B320&gt;0,1,0)</f>
        <v>1</v>
      </c>
      <c r="F319" s="99">
        <f t="shared" si="19"/>
        <v>-540000</v>
      </c>
      <c r="G319" s="99"/>
    </row>
    <row r="320" spans="1:11">
      <c r="A320" s="99" t="s">
        <v>5237</v>
      </c>
      <c r="B320" s="113">
        <v>6300000</v>
      </c>
      <c r="C320" s="99">
        <v>1</v>
      </c>
      <c r="D320" s="99">
        <f t="shared" si="20"/>
        <v>125</v>
      </c>
      <c r="E320" s="99">
        <f t="shared" si="21"/>
        <v>0</v>
      </c>
      <c r="F320" s="99">
        <f t="shared" si="19"/>
        <v>787500000</v>
      </c>
      <c r="G320" s="99"/>
    </row>
    <row r="321" spans="1:9">
      <c r="A321" s="99" t="s">
        <v>5264</v>
      </c>
      <c r="B321" s="113">
        <v>-6000000</v>
      </c>
      <c r="C321" s="99">
        <v>2</v>
      </c>
      <c r="D321" s="99">
        <f t="shared" si="20"/>
        <v>124</v>
      </c>
      <c r="E321" s="99">
        <f t="shared" si="21"/>
        <v>0</v>
      </c>
      <c r="F321" s="99">
        <f t="shared" si="19"/>
        <v>-744000000</v>
      </c>
      <c r="G321" s="99"/>
    </row>
    <row r="322" spans="1:9">
      <c r="A322" s="99" t="s">
        <v>5261</v>
      </c>
      <c r="B322" s="113">
        <v>-295000</v>
      </c>
      <c r="C322" s="99">
        <v>0</v>
      </c>
      <c r="D322" s="99">
        <f t="shared" si="20"/>
        <v>122</v>
      </c>
      <c r="E322" s="99">
        <f t="shared" si="21"/>
        <v>1</v>
      </c>
      <c r="F322" s="99">
        <f t="shared" si="19"/>
        <v>-35695000</v>
      </c>
      <c r="G322" s="99"/>
    </row>
    <row r="323" spans="1:9">
      <c r="A323" s="99" t="s">
        <v>5261</v>
      </c>
      <c r="B323" s="113">
        <v>483</v>
      </c>
      <c r="C323" s="99">
        <v>8</v>
      </c>
      <c r="D323" s="99">
        <f t="shared" si="20"/>
        <v>122</v>
      </c>
      <c r="E323" s="99">
        <f t="shared" si="21"/>
        <v>1</v>
      </c>
      <c r="F323" s="99">
        <f t="shared" si="19"/>
        <v>58443</v>
      </c>
      <c r="G323" s="99" t="s">
        <v>694</v>
      </c>
      <c r="I323" t="s">
        <v>25</v>
      </c>
    </row>
    <row r="324" spans="1:9">
      <c r="A324" s="99" t="s">
        <v>5284</v>
      </c>
      <c r="B324" s="113">
        <v>1700000</v>
      </c>
      <c r="C324" s="99">
        <v>0</v>
      </c>
      <c r="D324" s="99">
        <f t="shared" si="20"/>
        <v>114</v>
      </c>
      <c r="E324" s="99">
        <f t="shared" si="21"/>
        <v>0</v>
      </c>
      <c r="F324" s="99">
        <f t="shared" si="19"/>
        <v>193800000</v>
      </c>
      <c r="G324" s="99"/>
    </row>
    <row r="325" spans="1:9">
      <c r="A325" s="99" t="s">
        <v>5284</v>
      </c>
      <c r="B325" s="113">
        <v>-53000</v>
      </c>
      <c r="C325" s="99">
        <v>1</v>
      </c>
      <c r="D325" s="99">
        <f t="shared" si="20"/>
        <v>114</v>
      </c>
      <c r="E325" s="99">
        <f t="shared" si="21"/>
        <v>0</v>
      </c>
      <c r="F325" s="99">
        <f t="shared" si="19"/>
        <v>-6042000</v>
      </c>
      <c r="G325" s="99"/>
    </row>
    <row r="326" spans="1:9">
      <c r="A326" s="99" t="s">
        <v>5285</v>
      </c>
      <c r="B326" s="113">
        <v>-1300000</v>
      </c>
      <c r="C326" s="99">
        <v>0</v>
      </c>
      <c r="D326" s="99">
        <f t="shared" si="20"/>
        <v>113</v>
      </c>
      <c r="E326" s="99">
        <f t="shared" si="21"/>
        <v>0</v>
      </c>
      <c r="F326" s="99">
        <f t="shared" si="19"/>
        <v>-146900000</v>
      </c>
      <c r="G326" s="99"/>
      <c r="I326" t="s">
        <v>25</v>
      </c>
    </row>
    <row r="327" spans="1:9">
      <c r="A327" s="99" t="s">
        <v>5285</v>
      </c>
      <c r="B327" s="113">
        <v>-41500</v>
      </c>
      <c r="C327" s="99">
        <v>1</v>
      </c>
      <c r="D327" s="99">
        <f t="shared" ref="D327:D331" si="22">D328+C327</f>
        <v>113</v>
      </c>
      <c r="E327" s="99">
        <f t="shared" ref="E327:E331" si="23">IF(B328&gt;0,1,0)</f>
        <v>0</v>
      </c>
      <c r="F327" s="99">
        <f t="shared" si="19"/>
        <v>-4689500</v>
      </c>
      <c r="G327" s="99"/>
    </row>
    <row r="328" spans="1:9">
      <c r="A328" s="99" t="s">
        <v>5290</v>
      </c>
      <c r="B328" s="113">
        <v>-57700</v>
      </c>
      <c r="C328" s="99">
        <v>3</v>
      </c>
      <c r="D328" s="99">
        <f t="shared" si="22"/>
        <v>112</v>
      </c>
      <c r="E328" s="99">
        <f t="shared" si="23"/>
        <v>0</v>
      </c>
      <c r="F328" s="99">
        <f t="shared" si="19"/>
        <v>-6462400</v>
      </c>
      <c r="G328" s="99"/>
    </row>
    <row r="329" spans="1:9">
      <c r="A329" s="99" t="s">
        <v>5293</v>
      </c>
      <c r="B329" s="113">
        <v>-5600</v>
      </c>
      <c r="C329" s="99">
        <v>1</v>
      </c>
      <c r="D329" s="99">
        <f t="shared" si="22"/>
        <v>109</v>
      </c>
      <c r="E329" s="99">
        <f t="shared" si="23"/>
        <v>0</v>
      </c>
      <c r="F329" s="99">
        <f t="shared" si="19"/>
        <v>-610400</v>
      </c>
      <c r="G329" s="99"/>
    </row>
    <row r="330" spans="1:9">
      <c r="A330" s="99" t="s">
        <v>5295</v>
      </c>
      <c r="B330" s="113">
        <v>-5600</v>
      </c>
      <c r="C330" s="99">
        <v>1</v>
      </c>
      <c r="D330" s="99">
        <f t="shared" si="22"/>
        <v>108</v>
      </c>
      <c r="E330" s="99">
        <f t="shared" si="23"/>
        <v>0</v>
      </c>
      <c r="F330" s="99">
        <f t="shared" si="19"/>
        <v>-604800</v>
      </c>
      <c r="G330" s="99"/>
    </row>
    <row r="331" spans="1:9">
      <c r="A331" s="99" t="s">
        <v>990</v>
      </c>
      <c r="B331" s="113">
        <v>-68100</v>
      </c>
      <c r="C331" s="99">
        <v>1</v>
      </c>
      <c r="D331" s="99">
        <f t="shared" si="22"/>
        <v>107</v>
      </c>
      <c r="E331" s="99">
        <f t="shared" si="23"/>
        <v>0</v>
      </c>
      <c r="F331" s="99">
        <f t="shared" si="19"/>
        <v>-7286700</v>
      </c>
      <c r="G331" s="99"/>
      <c r="I331" t="s">
        <v>25</v>
      </c>
    </row>
    <row r="332" spans="1:9">
      <c r="A332" s="99" t="s">
        <v>4272</v>
      </c>
      <c r="B332" s="113">
        <v>-25390</v>
      </c>
      <c r="C332" s="99">
        <v>2</v>
      </c>
      <c r="D332" s="99">
        <f t="shared" ref="D332:D333" si="24">D333+C332</f>
        <v>106</v>
      </c>
      <c r="E332" s="99">
        <f t="shared" ref="E332:E333" si="25">IF(B333&gt;0,1,0)</f>
        <v>0</v>
      </c>
      <c r="F332" s="99">
        <f t="shared" ref="F332:F333" si="26">B332*(D332-E332)</f>
        <v>-2691340</v>
      </c>
      <c r="G332" s="99"/>
    </row>
    <row r="333" spans="1:9">
      <c r="A333" s="99" t="s">
        <v>5310</v>
      </c>
      <c r="B333" s="113">
        <v>-78508</v>
      </c>
      <c r="C333" s="99">
        <v>2</v>
      </c>
      <c r="D333" s="99">
        <f t="shared" si="24"/>
        <v>104</v>
      </c>
      <c r="E333" s="99">
        <f t="shared" si="25"/>
        <v>0</v>
      </c>
      <c r="F333" s="99">
        <f t="shared" si="26"/>
        <v>-8164832</v>
      </c>
      <c r="G333" s="99"/>
    </row>
    <row r="334" spans="1:9">
      <c r="A334" s="99" t="s">
        <v>5311</v>
      </c>
      <c r="B334" s="113">
        <v>-2000</v>
      </c>
      <c r="C334" s="99">
        <v>4</v>
      </c>
      <c r="D334" s="99">
        <f t="shared" ref="D334:D352" si="27">D335+C334</f>
        <v>102</v>
      </c>
      <c r="E334" s="99">
        <f t="shared" ref="E334:E352" si="28">IF(B335&gt;0,1,0)</f>
        <v>1</v>
      </c>
      <c r="F334" s="99">
        <f t="shared" ref="F334:F352" si="29">B334*(D334-E334)</f>
        <v>-202000</v>
      </c>
      <c r="G334" s="99"/>
    </row>
    <row r="335" spans="1:9">
      <c r="A335" s="99" t="s">
        <v>5316</v>
      </c>
      <c r="B335" s="113">
        <v>2200472</v>
      </c>
      <c r="C335" s="99">
        <v>1</v>
      </c>
      <c r="D335" s="99">
        <f t="shared" si="27"/>
        <v>98</v>
      </c>
      <c r="E335" s="99">
        <f t="shared" si="28"/>
        <v>0</v>
      </c>
      <c r="F335" s="99">
        <f t="shared" si="29"/>
        <v>215646256</v>
      </c>
      <c r="G335" s="99"/>
      <c r="H335" t="s">
        <v>25</v>
      </c>
    </row>
    <row r="336" spans="1:9">
      <c r="A336" s="99" t="s">
        <v>5324</v>
      </c>
      <c r="B336" s="113">
        <v>-28000</v>
      </c>
      <c r="C336" s="99">
        <v>2</v>
      </c>
      <c r="D336" s="99">
        <f t="shared" si="27"/>
        <v>97</v>
      </c>
      <c r="E336" s="99">
        <f t="shared" si="28"/>
        <v>1</v>
      </c>
      <c r="F336" s="99">
        <f t="shared" si="29"/>
        <v>-2688000</v>
      </c>
      <c r="G336" s="99"/>
    </row>
    <row r="337" spans="1:13">
      <c r="A337" s="99" t="s">
        <v>5322</v>
      </c>
      <c r="B337" s="113">
        <v>2500000</v>
      </c>
      <c r="C337" s="99">
        <v>0</v>
      </c>
      <c r="D337" s="99">
        <f t="shared" si="27"/>
        <v>95</v>
      </c>
      <c r="E337" s="99">
        <f t="shared" si="28"/>
        <v>0</v>
      </c>
      <c r="F337" s="99">
        <f t="shared" si="29"/>
        <v>237500000</v>
      </c>
      <c r="G337" s="99"/>
    </row>
    <row r="338" spans="1:13">
      <c r="A338" s="99" t="s">
        <v>5322</v>
      </c>
      <c r="B338" s="113">
        <v>-407500</v>
      </c>
      <c r="C338" s="99">
        <v>2</v>
      </c>
      <c r="D338" s="99">
        <f t="shared" si="27"/>
        <v>95</v>
      </c>
      <c r="E338" s="99">
        <f t="shared" si="28"/>
        <v>0</v>
      </c>
      <c r="F338" s="99">
        <f t="shared" si="29"/>
        <v>-38712500</v>
      </c>
      <c r="G338" s="99"/>
    </row>
    <row r="339" spans="1:13">
      <c r="A339" s="99" t="s">
        <v>5325</v>
      </c>
      <c r="B339" s="113">
        <v>-3600</v>
      </c>
      <c r="C339" s="99">
        <v>1</v>
      </c>
      <c r="D339" s="99">
        <f t="shared" si="27"/>
        <v>93</v>
      </c>
      <c r="E339" s="99">
        <f t="shared" si="28"/>
        <v>0</v>
      </c>
      <c r="F339" s="99">
        <f t="shared" si="29"/>
        <v>-334800</v>
      </c>
      <c r="G339" s="99"/>
    </row>
    <row r="340" spans="1:13">
      <c r="A340" s="99" t="s">
        <v>5334</v>
      </c>
      <c r="B340" s="113">
        <v>-170094</v>
      </c>
      <c r="C340" s="99">
        <v>1</v>
      </c>
      <c r="D340" s="99">
        <f t="shared" si="27"/>
        <v>92</v>
      </c>
      <c r="E340" s="99">
        <f t="shared" si="28"/>
        <v>0</v>
      </c>
      <c r="F340" s="99">
        <f t="shared" si="29"/>
        <v>-15648648</v>
      </c>
      <c r="G340" s="99"/>
      <c r="J340" t="s">
        <v>25</v>
      </c>
    </row>
    <row r="341" spans="1:13">
      <c r="A341" s="99" t="s">
        <v>5327</v>
      </c>
      <c r="B341" s="113">
        <v>-51730</v>
      </c>
      <c r="C341" s="99">
        <v>1</v>
      </c>
      <c r="D341" s="99">
        <f t="shared" si="27"/>
        <v>91</v>
      </c>
      <c r="E341" s="99">
        <f t="shared" si="28"/>
        <v>0</v>
      </c>
      <c r="F341" s="99">
        <f t="shared" si="29"/>
        <v>-4707430</v>
      </c>
      <c r="G341" s="99"/>
    </row>
    <row r="342" spans="1:13">
      <c r="A342" s="99" t="s">
        <v>5335</v>
      </c>
      <c r="B342" s="113">
        <v>-200000</v>
      </c>
      <c r="C342" s="99">
        <v>2</v>
      </c>
      <c r="D342" s="99">
        <f t="shared" si="27"/>
        <v>90</v>
      </c>
      <c r="E342" s="99">
        <f t="shared" si="28"/>
        <v>0</v>
      </c>
      <c r="F342" s="99">
        <f t="shared" si="29"/>
        <v>-18000000</v>
      </c>
      <c r="G342" s="99"/>
    </row>
    <row r="343" spans="1:13">
      <c r="A343" s="99" t="s">
        <v>5283</v>
      </c>
      <c r="B343" s="113">
        <v>-3000000</v>
      </c>
      <c r="C343" s="99">
        <v>0</v>
      </c>
      <c r="D343" s="99">
        <f t="shared" si="27"/>
        <v>88</v>
      </c>
      <c r="E343" s="99">
        <f t="shared" si="28"/>
        <v>0</v>
      </c>
      <c r="F343" s="99">
        <f t="shared" si="29"/>
        <v>-264000000</v>
      </c>
      <c r="G343" s="99"/>
    </row>
    <row r="344" spans="1:13">
      <c r="A344" s="99" t="s">
        <v>5283</v>
      </c>
      <c r="B344" s="113">
        <v>-39726</v>
      </c>
      <c r="C344" s="99">
        <v>1</v>
      </c>
      <c r="D344" s="99">
        <f t="shared" si="27"/>
        <v>88</v>
      </c>
      <c r="E344" s="99">
        <f t="shared" si="28"/>
        <v>0</v>
      </c>
      <c r="F344" s="99">
        <f t="shared" si="29"/>
        <v>-3495888</v>
      </c>
      <c r="G344" s="99"/>
      <c r="M344" t="s">
        <v>25</v>
      </c>
    </row>
    <row r="345" spans="1:13">
      <c r="A345" s="99" t="s">
        <v>5338</v>
      </c>
      <c r="B345" s="113">
        <v>-566500</v>
      </c>
      <c r="C345" s="99">
        <v>1</v>
      </c>
      <c r="D345" s="99">
        <f t="shared" si="27"/>
        <v>87</v>
      </c>
      <c r="E345" s="99">
        <f t="shared" si="28"/>
        <v>0</v>
      </c>
      <c r="F345" s="99">
        <f t="shared" si="29"/>
        <v>-49285500</v>
      </c>
      <c r="G345" s="99"/>
      <c r="K345" t="s">
        <v>25</v>
      </c>
    </row>
    <row r="346" spans="1:13">
      <c r="A346" s="99" t="s">
        <v>5339</v>
      </c>
      <c r="B346" s="113">
        <v>-300000</v>
      </c>
      <c r="C346" s="99">
        <v>22</v>
      </c>
      <c r="D346" s="99">
        <f t="shared" si="27"/>
        <v>86</v>
      </c>
      <c r="E346" s="99">
        <f t="shared" si="28"/>
        <v>1</v>
      </c>
      <c r="F346" s="99">
        <f t="shared" si="29"/>
        <v>-25500000</v>
      </c>
      <c r="G346" s="99"/>
      <c r="J346" t="s">
        <v>25</v>
      </c>
    </row>
    <row r="347" spans="1:13">
      <c r="A347" s="99" t="s">
        <v>5363</v>
      </c>
      <c r="B347" s="113">
        <v>700000</v>
      </c>
      <c r="C347" s="99">
        <v>1</v>
      </c>
      <c r="D347" s="99">
        <f t="shared" si="27"/>
        <v>64</v>
      </c>
      <c r="E347" s="99">
        <f t="shared" si="28"/>
        <v>0</v>
      </c>
      <c r="F347" s="99">
        <f t="shared" si="29"/>
        <v>44800000</v>
      </c>
      <c r="G347" s="99"/>
    </row>
    <row r="348" spans="1:13">
      <c r="A348" s="99" t="s">
        <v>5366</v>
      </c>
      <c r="B348" s="113">
        <v>-101000</v>
      </c>
      <c r="C348" s="99">
        <v>1</v>
      </c>
      <c r="D348" s="99">
        <f t="shared" si="27"/>
        <v>63</v>
      </c>
      <c r="E348" s="99">
        <f t="shared" si="28"/>
        <v>0</v>
      </c>
      <c r="F348" s="99">
        <f t="shared" si="29"/>
        <v>-6363000</v>
      </c>
      <c r="G348" s="99"/>
    </row>
    <row r="349" spans="1:13">
      <c r="A349" s="99" t="s">
        <v>5366</v>
      </c>
      <c r="B349" s="113">
        <v>-57245</v>
      </c>
      <c r="C349" s="99">
        <v>1</v>
      </c>
      <c r="D349" s="99">
        <f t="shared" si="27"/>
        <v>62</v>
      </c>
      <c r="E349" s="99">
        <f t="shared" si="28"/>
        <v>0</v>
      </c>
      <c r="F349" s="99">
        <f t="shared" si="29"/>
        <v>-3549190</v>
      </c>
      <c r="G349" s="99"/>
    </row>
    <row r="350" spans="1:13">
      <c r="A350" s="99" t="s">
        <v>5368</v>
      </c>
      <c r="B350" s="113">
        <v>-398700</v>
      </c>
      <c r="C350" s="99">
        <v>2</v>
      </c>
      <c r="D350" s="99">
        <f t="shared" si="27"/>
        <v>61</v>
      </c>
      <c r="E350" s="99">
        <f t="shared" si="28"/>
        <v>0</v>
      </c>
      <c r="F350" s="99">
        <f t="shared" si="29"/>
        <v>-24320700</v>
      </c>
      <c r="G350" s="99"/>
    </row>
    <row r="351" spans="1:13">
      <c r="A351" s="99" t="s">
        <v>5367</v>
      </c>
      <c r="B351" s="113">
        <v>-87010</v>
      </c>
      <c r="C351" s="99">
        <v>5</v>
      </c>
      <c r="D351" s="99">
        <f t="shared" si="27"/>
        <v>59</v>
      </c>
      <c r="E351" s="99">
        <f t="shared" si="28"/>
        <v>0</v>
      </c>
      <c r="F351" s="99">
        <f t="shared" si="29"/>
        <v>-5133590</v>
      </c>
      <c r="G351" s="99"/>
    </row>
    <row r="352" spans="1:13">
      <c r="A352" s="99" t="s">
        <v>5400</v>
      </c>
      <c r="B352" s="113">
        <v>-50000</v>
      </c>
      <c r="C352" s="99">
        <v>28</v>
      </c>
      <c r="D352" s="99">
        <f t="shared" si="27"/>
        <v>54</v>
      </c>
      <c r="E352" s="99">
        <f t="shared" si="28"/>
        <v>1</v>
      </c>
      <c r="F352" s="99">
        <f t="shared" si="29"/>
        <v>-2650000</v>
      </c>
      <c r="G352" s="99"/>
    </row>
    <row r="353" spans="1:12">
      <c r="A353" s="99" t="s">
        <v>5399</v>
      </c>
      <c r="B353" s="113">
        <v>1200000</v>
      </c>
      <c r="C353" s="99">
        <v>0</v>
      </c>
      <c r="D353" s="99">
        <f t="shared" ref="D353:D365" si="30">D354+C353</f>
        <v>26</v>
      </c>
      <c r="E353" s="99">
        <f t="shared" ref="E353:E365" si="31">IF(B354&gt;0,1,0)</f>
        <v>0</v>
      </c>
      <c r="F353" s="99">
        <f t="shared" ref="F353:F365" si="32">B353*(D353-E353)</f>
        <v>31200000</v>
      </c>
      <c r="G353" s="99"/>
    </row>
    <row r="354" spans="1:12">
      <c r="A354" s="99" t="s">
        <v>5399</v>
      </c>
      <c r="B354" s="113">
        <v>-367300</v>
      </c>
      <c r="C354" s="99">
        <v>1</v>
      </c>
      <c r="D354" s="99">
        <f t="shared" si="30"/>
        <v>26</v>
      </c>
      <c r="E354" s="99">
        <f t="shared" si="31"/>
        <v>0</v>
      </c>
      <c r="F354" s="99">
        <f t="shared" si="32"/>
        <v>-9549800</v>
      </c>
      <c r="G354" s="99"/>
    </row>
    <row r="355" spans="1:12">
      <c r="A355" s="99" t="s">
        <v>5401</v>
      </c>
      <c r="B355" s="113">
        <v>-104894</v>
      </c>
      <c r="C355" s="99">
        <v>1</v>
      </c>
      <c r="D355" s="99">
        <f t="shared" si="30"/>
        <v>25</v>
      </c>
      <c r="E355" s="99">
        <f t="shared" si="31"/>
        <v>0</v>
      </c>
      <c r="F355" s="99">
        <f t="shared" si="32"/>
        <v>-2622350</v>
      </c>
      <c r="G355" s="99"/>
    </row>
    <row r="356" spans="1:12">
      <c r="A356" s="99" t="s">
        <v>5402</v>
      </c>
      <c r="B356" s="113">
        <v>-688700</v>
      </c>
      <c r="C356" s="99">
        <v>0</v>
      </c>
      <c r="D356" s="99">
        <f t="shared" si="30"/>
        <v>24</v>
      </c>
      <c r="E356" s="99">
        <f t="shared" si="31"/>
        <v>0</v>
      </c>
      <c r="F356" s="99">
        <f t="shared" si="32"/>
        <v>-16528800</v>
      </c>
      <c r="G356" s="99"/>
    </row>
    <row r="357" spans="1:12">
      <c r="A357" s="99" t="s">
        <v>5402</v>
      </c>
      <c r="B357" s="113">
        <v>-8321</v>
      </c>
      <c r="C357" s="99">
        <v>5</v>
      </c>
      <c r="D357" s="99">
        <f t="shared" si="30"/>
        <v>24</v>
      </c>
      <c r="E357" s="99">
        <f t="shared" si="31"/>
        <v>1</v>
      </c>
      <c r="F357" s="99">
        <f t="shared" si="32"/>
        <v>-191383</v>
      </c>
      <c r="G357" s="99"/>
      <c r="J357" t="s">
        <v>25</v>
      </c>
    </row>
    <row r="358" spans="1:12">
      <c r="A358" s="99" t="s">
        <v>5414</v>
      </c>
      <c r="B358" s="113">
        <v>1000000</v>
      </c>
      <c r="C358" s="99">
        <v>0</v>
      </c>
      <c r="D358" s="99">
        <f t="shared" si="30"/>
        <v>19</v>
      </c>
      <c r="E358" s="99">
        <f t="shared" si="31"/>
        <v>0</v>
      </c>
      <c r="F358" s="99">
        <f t="shared" si="32"/>
        <v>19000000</v>
      </c>
      <c r="G358" s="99"/>
    </row>
    <row r="359" spans="1:12">
      <c r="A359" s="99" t="s">
        <v>5414</v>
      </c>
      <c r="B359" s="113">
        <v>-127644</v>
      </c>
      <c r="C359" s="99">
        <v>1</v>
      </c>
      <c r="D359" s="99">
        <f t="shared" si="30"/>
        <v>19</v>
      </c>
      <c r="E359" s="99">
        <f t="shared" si="31"/>
        <v>0</v>
      </c>
      <c r="F359" s="99">
        <f t="shared" si="32"/>
        <v>-2425236</v>
      </c>
      <c r="G359" s="99"/>
    </row>
    <row r="360" spans="1:12">
      <c r="A360" s="99" t="s">
        <v>5415</v>
      </c>
      <c r="B360" s="113">
        <v>-418000</v>
      </c>
      <c r="C360" s="99">
        <v>4</v>
      </c>
      <c r="D360" s="99">
        <f t="shared" si="30"/>
        <v>18</v>
      </c>
      <c r="E360" s="99">
        <f t="shared" si="31"/>
        <v>0</v>
      </c>
      <c r="F360" s="99">
        <f t="shared" si="32"/>
        <v>-7524000</v>
      </c>
      <c r="G360" s="99"/>
    </row>
    <row r="361" spans="1:12">
      <c r="A361" s="99" t="s">
        <v>5420</v>
      </c>
      <c r="B361" s="113">
        <v>-183136</v>
      </c>
      <c r="C361" s="99">
        <v>2</v>
      </c>
      <c r="D361" s="99">
        <f t="shared" si="30"/>
        <v>14</v>
      </c>
      <c r="E361" s="99">
        <f t="shared" si="31"/>
        <v>0</v>
      </c>
      <c r="F361" s="99">
        <f t="shared" si="32"/>
        <v>-2563904</v>
      </c>
      <c r="G361" s="99"/>
      <c r="L361" t="s">
        <v>25</v>
      </c>
    </row>
    <row r="362" spans="1:12">
      <c r="A362" s="99" t="s">
        <v>5463</v>
      </c>
      <c r="B362" s="113">
        <v>-18600</v>
      </c>
      <c r="C362" s="99">
        <v>2</v>
      </c>
      <c r="D362" s="99">
        <f t="shared" si="30"/>
        <v>12</v>
      </c>
      <c r="E362" s="99">
        <f t="shared" si="31"/>
        <v>0</v>
      </c>
      <c r="F362" s="99">
        <f t="shared" si="32"/>
        <v>-223200</v>
      </c>
      <c r="G362" s="99"/>
    </row>
    <row r="363" spans="1:12">
      <c r="A363" s="99" t="s">
        <v>5433</v>
      </c>
      <c r="B363" s="113">
        <v>-90000</v>
      </c>
      <c r="C363" s="99">
        <v>1</v>
      </c>
      <c r="D363" s="99">
        <f t="shared" si="30"/>
        <v>10</v>
      </c>
      <c r="E363" s="99">
        <f t="shared" si="31"/>
        <v>0</v>
      </c>
      <c r="F363" s="99">
        <f t="shared" si="32"/>
        <v>-900000</v>
      </c>
      <c r="G363" s="99"/>
    </row>
    <row r="364" spans="1:12">
      <c r="A364" s="99" t="s">
        <v>5434</v>
      </c>
      <c r="B364" s="113">
        <v>-18600</v>
      </c>
      <c r="C364" s="99">
        <v>1</v>
      </c>
      <c r="D364" s="99">
        <f t="shared" si="30"/>
        <v>9</v>
      </c>
      <c r="E364" s="99">
        <f t="shared" si="31"/>
        <v>0</v>
      </c>
      <c r="F364" s="99">
        <f t="shared" si="32"/>
        <v>-167400</v>
      </c>
      <c r="G364" s="99"/>
    </row>
    <row r="365" spans="1:12">
      <c r="A365" s="99" t="s">
        <v>977</v>
      </c>
      <c r="B365" s="113">
        <v>-89760</v>
      </c>
      <c r="C365" s="99">
        <v>0</v>
      </c>
      <c r="D365" s="99">
        <f t="shared" si="30"/>
        <v>8</v>
      </c>
      <c r="E365" s="99">
        <f t="shared" si="31"/>
        <v>1</v>
      </c>
      <c r="F365" s="99">
        <f t="shared" si="32"/>
        <v>-628320</v>
      </c>
      <c r="G365" s="99"/>
      <c r="K365" t="s">
        <v>25</v>
      </c>
    </row>
    <row r="366" spans="1:12">
      <c r="A366" s="99" t="s">
        <v>977</v>
      </c>
      <c r="B366" s="113">
        <v>1600000</v>
      </c>
      <c r="C366" s="99">
        <v>0</v>
      </c>
      <c r="D366" s="99">
        <f t="shared" ref="D366:D390" si="33">D367+C366</f>
        <v>8</v>
      </c>
      <c r="E366" s="99">
        <f t="shared" ref="E366:E390" si="34">IF(B367&gt;0,1,0)</f>
        <v>0</v>
      </c>
      <c r="F366" s="99">
        <f t="shared" ref="F366:F390" si="35">B366*(D366-E366)</f>
        <v>12800000</v>
      </c>
      <c r="G366" s="99"/>
    </row>
    <row r="367" spans="1:12">
      <c r="A367" s="99" t="s">
        <v>977</v>
      </c>
      <c r="B367" s="113">
        <v>-101003</v>
      </c>
      <c r="C367" s="99">
        <v>1</v>
      </c>
      <c r="D367" s="99">
        <f t="shared" si="33"/>
        <v>8</v>
      </c>
      <c r="E367" s="99">
        <f t="shared" si="34"/>
        <v>1</v>
      </c>
      <c r="F367" s="99">
        <f t="shared" si="35"/>
        <v>-707021</v>
      </c>
      <c r="G367" s="99"/>
    </row>
    <row r="368" spans="1:12">
      <c r="A368" s="99" t="s">
        <v>5438</v>
      </c>
      <c r="B368" s="113">
        <v>3500000</v>
      </c>
      <c r="C368" s="99">
        <v>3</v>
      </c>
      <c r="D368" s="99">
        <f t="shared" si="33"/>
        <v>7</v>
      </c>
      <c r="E368" s="99">
        <f t="shared" si="34"/>
        <v>0</v>
      </c>
      <c r="F368" s="99">
        <f t="shared" si="35"/>
        <v>24500000</v>
      </c>
      <c r="G368" s="99"/>
    </row>
    <row r="369" spans="1:11">
      <c r="A369" s="99" t="s">
        <v>5443</v>
      </c>
      <c r="B369" s="113">
        <v>-93800</v>
      </c>
      <c r="C369" s="99">
        <v>1</v>
      </c>
      <c r="D369" s="99">
        <f t="shared" si="33"/>
        <v>4</v>
      </c>
      <c r="E369" s="99">
        <f t="shared" si="34"/>
        <v>0</v>
      </c>
      <c r="F369" s="99">
        <f t="shared" si="35"/>
        <v>-375200</v>
      </c>
      <c r="G369" s="99"/>
    </row>
    <row r="370" spans="1:11">
      <c r="A370" s="99" t="s">
        <v>5445</v>
      </c>
      <c r="B370" s="113">
        <v>-815500</v>
      </c>
      <c r="C370" s="99">
        <v>1</v>
      </c>
      <c r="D370" s="99">
        <f t="shared" si="33"/>
        <v>3</v>
      </c>
      <c r="E370" s="99">
        <f t="shared" si="34"/>
        <v>0</v>
      </c>
      <c r="F370" s="99">
        <f t="shared" si="35"/>
        <v>-2446500</v>
      </c>
      <c r="G370" s="99"/>
    </row>
    <row r="371" spans="1:11">
      <c r="A371" s="99" t="s">
        <v>5449</v>
      </c>
      <c r="B371" s="113">
        <v>-2096840</v>
      </c>
      <c r="C371" s="99">
        <v>0</v>
      </c>
      <c r="D371" s="99">
        <f t="shared" si="33"/>
        <v>2</v>
      </c>
      <c r="E371" s="99">
        <f t="shared" si="34"/>
        <v>1</v>
      </c>
      <c r="F371" s="99">
        <f t="shared" si="35"/>
        <v>-2096840</v>
      </c>
      <c r="G371" s="99"/>
    </row>
    <row r="372" spans="1:11">
      <c r="A372" s="99" t="s">
        <v>5449</v>
      </c>
      <c r="B372" s="113">
        <v>533</v>
      </c>
      <c r="C372" s="99">
        <v>1</v>
      </c>
      <c r="D372" s="99">
        <f t="shared" si="33"/>
        <v>2</v>
      </c>
      <c r="E372" s="99">
        <f t="shared" si="34"/>
        <v>1</v>
      </c>
      <c r="F372" s="99">
        <f t="shared" si="35"/>
        <v>533</v>
      </c>
      <c r="G372" s="99"/>
      <c r="J372" t="s">
        <v>25</v>
      </c>
    </row>
    <row r="373" spans="1:11">
      <c r="A373" s="99" t="s">
        <v>5457</v>
      </c>
      <c r="B373" s="113">
        <v>4100000</v>
      </c>
      <c r="C373" s="99">
        <v>1</v>
      </c>
      <c r="D373" s="99">
        <f t="shared" si="33"/>
        <v>1</v>
      </c>
      <c r="E373" s="99">
        <f t="shared" si="34"/>
        <v>0</v>
      </c>
      <c r="F373" s="99">
        <f t="shared" si="35"/>
        <v>4100000</v>
      </c>
      <c r="G373" s="99"/>
    </row>
    <row r="374" spans="1:11">
      <c r="A374" s="99"/>
      <c r="B374" s="113"/>
      <c r="C374" s="99"/>
      <c r="D374" s="99">
        <f t="shared" si="33"/>
        <v>0</v>
      </c>
      <c r="E374" s="99">
        <f t="shared" si="34"/>
        <v>0</v>
      </c>
      <c r="F374" s="99">
        <f t="shared" si="35"/>
        <v>0</v>
      </c>
      <c r="G374" s="99"/>
    </row>
    <row r="375" spans="1:11">
      <c r="A375" s="99"/>
      <c r="B375" s="113"/>
      <c r="C375" s="99"/>
      <c r="D375" s="99">
        <f t="shared" si="33"/>
        <v>0</v>
      </c>
      <c r="E375" s="99">
        <f t="shared" si="34"/>
        <v>0</v>
      </c>
      <c r="F375" s="99">
        <f t="shared" si="35"/>
        <v>0</v>
      </c>
      <c r="G375" s="99"/>
    </row>
    <row r="376" spans="1:11">
      <c r="A376" s="99"/>
      <c r="B376" s="113"/>
      <c r="C376" s="99"/>
      <c r="D376" s="99">
        <f t="shared" si="33"/>
        <v>0</v>
      </c>
      <c r="E376" s="99">
        <f t="shared" si="34"/>
        <v>0</v>
      </c>
      <c r="F376" s="99">
        <f t="shared" si="35"/>
        <v>0</v>
      </c>
      <c r="G376" s="99"/>
    </row>
    <row r="377" spans="1:11">
      <c r="A377" s="99"/>
      <c r="B377" s="113"/>
      <c r="C377" s="99"/>
      <c r="D377" s="99">
        <f t="shared" si="33"/>
        <v>0</v>
      </c>
      <c r="E377" s="99">
        <f t="shared" si="34"/>
        <v>0</v>
      </c>
      <c r="F377" s="99">
        <f t="shared" si="35"/>
        <v>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6242803</v>
      </c>
      <c r="C392" s="11"/>
      <c r="D392" s="11"/>
      <c r="E392" s="11"/>
      <c r="F392" s="29">
        <f>SUM(F2:F390)</f>
        <v>19044378614</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14254774.411676647</v>
      </c>
      <c r="G395" s="11"/>
    </row>
    <row r="396" spans="1:7">
      <c r="A396" s="11"/>
      <c r="B396" s="11"/>
      <c r="C396" s="11"/>
      <c r="D396" s="11"/>
      <c r="E396" s="11"/>
      <c r="F396" s="11" t="s">
        <v>286</v>
      </c>
      <c r="G396" s="11"/>
    </row>
    <row r="399" spans="1:7">
      <c r="B399" s="114">
        <f>B392-201378</f>
        <v>6041425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M155" zoomScale="85" zoomScaleNormal="85" workbookViewId="0">
      <selection activeCell="T178" sqref="T1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6242803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S129</f>
        <v>493</v>
      </c>
      <c r="T20" s="168" t="s">
        <v>4300</v>
      </c>
      <c r="U20" s="168">
        <v>192.1</v>
      </c>
      <c r="V20" s="168">
        <f t="shared" ref="V20:V51" si="6">U20*(1+$R$125+$Q$15*S20/36500)</f>
        <v>267.67056109589043</v>
      </c>
      <c r="W20" s="32">
        <f t="shared" ref="W20:W29" si="7">V20*(1+$W$19/100)</f>
        <v>273.02397231780827</v>
      </c>
      <c r="X20" s="32">
        <f t="shared" ref="X20:X29" si="8">V20*(1+$X$19/100)</f>
        <v>278.37738353972605</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1060693515.4059085</v>
      </c>
      <c r="M21" s="168" t="s">
        <v>4292</v>
      </c>
      <c r="N21" s="113">
        <f t="shared" ref="N21:N24" si="9">O21*P21</f>
        <v>663501126.0999999</v>
      </c>
      <c r="O21" s="99">
        <v>1655029</v>
      </c>
      <c r="P21" s="185">
        <f>P49</f>
        <v>400.9</v>
      </c>
      <c r="Q21" s="169">
        <v>1353959</v>
      </c>
      <c r="R21" s="168" t="s">
        <v>4417</v>
      </c>
      <c r="S21" s="198">
        <f>S20-59</f>
        <v>434</v>
      </c>
      <c r="T21" s="19" t="s">
        <v>4460</v>
      </c>
      <c r="U21" s="168">
        <v>192.2</v>
      </c>
      <c r="V21" s="168">
        <f t="shared" si="6"/>
        <v>259.11087561643836</v>
      </c>
      <c r="W21" s="32">
        <f t="shared" si="7"/>
        <v>264.29309312876711</v>
      </c>
      <c r="X21" s="32">
        <f t="shared" si="8"/>
        <v>269.47531064109592</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5475</v>
      </c>
      <c r="N22" s="113">
        <f t="shared" si="9"/>
        <v>73500</v>
      </c>
      <c r="O22" s="99">
        <v>50</v>
      </c>
      <c r="P22" s="185">
        <f>P46</f>
        <v>1470</v>
      </c>
      <c r="Q22" s="169">
        <v>1614398</v>
      </c>
      <c r="R22" s="168" t="s">
        <v>4423</v>
      </c>
      <c r="S22" s="168">
        <f>S21-3</f>
        <v>431</v>
      </c>
      <c r="T22" s="19" t="s">
        <v>4493</v>
      </c>
      <c r="U22" s="168">
        <v>184.6</v>
      </c>
      <c r="V22" s="168">
        <f t="shared" si="6"/>
        <v>248.44024328767125</v>
      </c>
      <c r="W22" s="32">
        <f t="shared" si="7"/>
        <v>253.40904815342469</v>
      </c>
      <c r="X22" s="32">
        <f t="shared" si="8"/>
        <v>258.37785301917813</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20430686.699999999</v>
      </c>
      <c r="O23" s="99">
        <v>2907</v>
      </c>
      <c r="P23" s="185">
        <f>P48</f>
        <v>7028.1</v>
      </c>
      <c r="Q23" s="169">
        <v>133576</v>
      </c>
      <c r="R23" s="168" t="s">
        <v>4500</v>
      </c>
      <c r="S23" s="197">
        <f>S22-22</f>
        <v>409</v>
      </c>
      <c r="T23" s="168" t="s">
        <v>4501</v>
      </c>
      <c r="U23" s="168">
        <v>166.2</v>
      </c>
      <c r="V23" s="168">
        <f t="shared" si="6"/>
        <v>220.8720591780822</v>
      </c>
      <c r="W23" s="32">
        <f t="shared" si="7"/>
        <v>225.28950036164383</v>
      </c>
      <c r="X23" s="32">
        <f t="shared" si="8"/>
        <v>229.7069415452055</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964849632.40590847</v>
      </c>
      <c r="G24" s="95">
        <f t="shared" si="0"/>
        <v>-684543287.02396989</v>
      </c>
      <c r="H24" s="11"/>
      <c r="I24" s="96"/>
      <c r="J24" s="96"/>
      <c r="K24" s="168" t="s">
        <v>4458</v>
      </c>
      <c r="L24" s="117">
        <f>-'فروردین 98'!D115</f>
        <v>-25441459</v>
      </c>
      <c r="M24" s="213" t="s">
        <v>4398</v>
      </c>
      <c r="N24" s="113">
        <f t="shared" si="9"/>
        <v>161331732.5</v>
      </c>
      <c r="O24" s="99">
        <v>157075</v>
      </c>
      <c r="P24" s="185">
        <f>P45</f>
        <v>1027.0999999999999</v>
      </c>
      <c r="Q24" s="169">
        <v>220803</v>
      </c>
      <c r="R24" s="168" t="s">
        <v>4222</v>
      </c>
      <c r="S24" s="197">
        <f>S23-1</f>
        <v>408</v>
      </c>
      <c r="T24" s="168" t="s">
        <v>4507</v>
      </c>
      <c r="U24" s="168">
        <v>166</v>
      </c>
      <c r="V24" s="168">
        <f t="shared" si="6"/>
        <v>220.47892602739728</v>
      </c>
      <c r="W24" s="32">
        <f t="shared" si="7"/>
        <v>224.88850454794522</v>
      </c>
      <c r="X24" s="32">
        <f t="shared" si="8"/>
        <v>229.29808306849318</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406</v>
      </c>
      <c r="T25" s="168" t="s">
        <v>4514</v>
      </c>
      <c r="U25" s="168">
        <v>160.19999999999999</v>
      </c>
      <c r="V25" s="168">
        <f t="shared" si="6"/>
        <v>212.5296591780822</v>
      </c>
      <c r="W25" s="32">
        <f t="shared" si="7"/>
        <v>216.78025236164385</v>
      </c>
      <c r="X25" s="32">
        <f t="shared" si="8"/>
        <v>221.03084554520549</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v>
      </c>
      <c r="O26" s="277"/>
      <c r="P26" s="99" t="s">
        <v>25</v>
      </c>
      <c r="Q26" s="169">
        <v>168846</v>
      </c>
      <c r="R26" s="168" t="s">
        <v>3688</v>
      </c>
      <c r="S26" s="197">
        <f>S25-28</f>
        <v>378</v>
      </c>
      <c r="T26" s="168" t="s">
        <v>4603</v>
      </c>
      <c r="U26" s="168">
        <v>172.2</v>
      </c>
      <c r="V26" s="168">
        <f t="shared" si="6"/>
        <v>224.75072219178082</v>
      </c>
      <c r="W26" s="32">
        <f t="shared" si="7"/>
        <v>229.24573663561645</v>
      </c>
      <c r="X26" s="32">
        <f t="shared" si="8"/>
        <v>233.74075107945205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3106977.4999999995</v>
      </c>
      <c r="O27" s="69">
        <v>3025</v>
      </c>
      <c r="P27" s="99">
        <f>P45</f>
        <v>1027.0999999999999</v>
      </c>
      <c r="Q27" s="169">
        <v>350718</v>
      </c>
      <c r="R27" s="213" t="s">
        <v>4669</v>
      </c>
      <c r="S27" s="197">
        <f>S26-17</f>
        <v>361</v>
      </c>
      <c r="T27" s="213" t="s">
        <v>4670</v>
      </c>
      <c r="U27" s="213">
        <v>502.3</v>
      </c>
      <c r="V27" s="213">
        <f t="shared" si="6"/>
        <v>649.03765589041097</v>
      </c>
      <c r="W27" s="32">
        <f t="shared" si="7"/>
        <v>662.01840900821924</v>
      </c>
      <c r="X27" s="32">
        <f t="shared" si="8"/>
        <v>674.99916212602739</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5475</v>
      </c>
      <c r="N28" s="113">
        <f t="shared" si="13"/>
        <v>73500</v>
      </c>
      <c r="O28" s="69">
        <v>50</v>
      </c>
      <c r="P28" s="99">
        <f>P46</f>
        <v>1470</v>
      </c>
      <c r="Q28" s="169">
        <v>17953742</v>
      </c>
      <c r="R28" s="213" t="s">
        <v>3681</v>
      </c>
      <c r="S28" s="197">
        <f>S27-15</f>
        <v>346</v>
      </c>
      <c r="T28" s="213" t="s">
        <v>4706</v>
      </c>
      <c r="U28" s="213">
        <v>486.4</v>
      </c>
      <c r="V28" s="213">
        <f t="shared" si="6"/>
        <v>622.89583342465755</v>
      </c>
      <c r="W28" s="32">
        <f t="shared" si="7"/>
        <v>635.35375009315067</v>
      </c>
      <c r="X28" s="32">
        <f t="shared" si="8"/>
        <v>647.81166676164389</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15890534.100000001</v>
      </c>
      <c r="O29" s="69">
        <v>2261</v>
      </c>
      <c r="P29" s="99">
        <f>P48</f>
        <v>7028.1</v>
      </c>
      <c r="Q29" s="169">
        <v>9566181</v>
      </c>
      <c r="R29" s="213" t="s">
        <v>4707</v>
      </c>
      <c r="S29" s="197">
        <f>S28-1</f>
        <v>345</v>
      </c>
      <c r="T29" s="213" t="s">
        <v>4708</v>
      </c>
      <c r="U29" s="213">
        <v>476.1</v>
      </c>
      <c r="V29" s="213">
        <f t="shared" si="6"/>
        <v>609.34017205479461</v>
      </c>
      <c r="W29" s="32">
        <f t="shared" si="7"/>
        <v>621.5269754958905</v>
      </c>
      <c r="X29" s="32">
        <f t="shared" si="8"/>
        <v>633.71377893698639</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188200901.39999998</v>
      </c>
      <c r="O30" s="69">
        <v>469446</v>
      </c>
      <c r="P30" s="99">
        <f>P49</f>
        <v>400.9</v>
      </c>
      <c r="Q30" s="169">
        <v>1563192</v>
      </c>
      <c r="R30" s="213" t="s">
        <v>4707</v>
      </c>
      <c r="S30" s="197">
        <f>S29</f>
        <v>345</v>
      </c>
      <c r="T30" s="213" t="s">
        <v>4709</v>
      </c>
      <c r="U30" s="213">
        <v>168.8</v>
      </c>
      <c r="V30" s="213">
        <f t="shared" si="6"/>
        <v>216.03995178082195</v>
      </c>
      <c r="W30" s="32">
        <f t="shared" ref="W30:W47" si="14">V30*(1+$W$19/100)</f>
        <v>220.36075081643838</v>
      </c>
      <c r="X30" s="32">
        <f t="shared" ref="X30:X47" si="15">V30*(1+$X$19/100)</f>
        <v>224.68154985205484</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339</v>
      </c>
      <c r="T31" s="213" t="s">
        <v>4729</v>
      </c>
      <c r="U31" s="213">
        <v>525.1</v>
      </c>
      <c r="V31" s="213">
        <f t="shared" si="6"/>
        <v>669.6362926027399</v>
      </c>
      <c r="W31" s="32">
        <f t="shared" si="14"/>
        <v>683.02901845479471</v>
      </c>
      <c r="X31" s="32">
        <f t="shared" si="15"/>
        <v>696.42174430684952</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338</v>
      </c>
      <c r="T32" s="213" t="s">
        <v>4738</v>
      </c>
      <c r="U32" s="213">
        <v>529.79999999999995</v>
      </c>
      <c r="V32" s="213">
        <f t="shared" si="6"/>
        <v>675.22356821917811</v>
      </c>
      <c r="W32" s="32">
        <f t="shared" si="14"/>
        <v>688.72803958356167</v>
      </c>
      <c r="X32" s="32">
        <f t="shared" si="15"/>
        <v>702.23251094794523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-S202</f>
        <v>-1060693515.4059085</v>
      </c>
      <c r="O33" s="96"/>
      <c r="P33" s="96" t="s">
        <v>25</v>
      </c>
      <c r="Q33" s="169">
        <v>65651</v>
      </c>
      <c r="R33" s="213" t="s">
        <v>4826</v>
      </c>
      <c r="S33" s="197">
        <f>S32-21</f>
        <v>317</v>
      </c>
      <c r="T33" s="213" t="s">
        <v>5151</v>
      </c>
      <c r="U33" s="213">
        <v>587.29999999999995</v>
      </c>
      <c r="V33" s="213">
        <f t="shared" si="6"/>
        <v>739.04544767123286</v>
      </c>
      <c r="W33" s="32">
        <f t="shared" si="14"/>
        <v>753.82635662465748</v>
      </c>
      <c r="X33" s="32">
        <f t="shared" si="15"/>
        <v>768.60726557808221</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269</v>
      </c>
      <c r="T34" s="213" t="s">
        <v>4933</v>
      </c>
      <c r="U34" s="213">
        <v>218.5</v>
      </c>
      <c r="V34" s="213">
        <f t="shared" si="6"/>
        <v>266.91002191780825</v>
      </c>
      <c r="W34" s="32">
        <f t="shared" si="14"/>
        <v>272.24822235616443</v>
      </c>
      <c r="X34" s="32">
        <f t="shared" si="15"/>
        <v>277.58642279452062</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c r="P35" t="s">
        <v>25</v>
      </c>
      <c r="Q35" s="169">
        <v>15011877</v>
      </c>
      <c r="R35" s="213" t="s">
        <v>4936</v>
      </c>
      <c r="S35" s="197">
        <f>S34-3</f>
        <v>266</v>
      </c>
      <c r="T35" s="213" t="s">
        <v>4940</v>
      </c>
      <c r="U35" s="213">
        <v>197.1</v>
      </c>
      <c r="V35" s="213">
        <f t="shared" si="6"/>
        <v>240.31512000000001</v>
      </c>
      <c r="W35" s="32">
        <f t="shared" si="14"/>
        <v>245.1214224</v>
      </c>
      <c r="X35" s="32">
        <f t="shared" si="15"/>
        <v>249.92772480000002</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261</v>
      </c>
      <c r="T36" s="213" t="s">
        <v>4951</v>
      </c>
      <c r="U36" s="213">
        <v>194.4</v>
      </c>
      <c r="V36" s="213">
        <f t="shared" si="6"/>
        <v>236.27748821917811</v>
      </c>
      <c r="W36" s="32">
        <f t="shared" si="14"/>
        <v>241.00303798356168</v>
      </c>
      <c r="X36" s="32">
        <f t="shared" si="15"/>
        <v>245.72858774794526</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255</v>
      </c>
      <c r="T37" s="213" t="s">
        <v>4958</v>
      </c>
      <c r="U37" s="213">
        <v>190.3</v>
      </c>
      <c r="V37" s="213">
        <f t="shared" si="6"/>
        <v>230.41836821917815</v>
      </c>
      <c r="W37" s="32">
        <f t="shared" si="14"/>
        <v>235.0267355835617</v>
      </c>
      <c r="X37" s="32">
        <f t="shared" si="15"/>
        <v>239.63510294794528</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253</v>
      </c>
      <c r="T38" s="213" t="s">
        <v>5005</v>
      </c>
      <c r="U38" s="213">
        <v>195.5</v>
      </c>
      <c r="V38" s="213">
        <f t="shared" si="6"/>
        <v>236.41466849315071</v>
      </c>
      <c r="W38" s="32">
        <f t="shared" si="14"/>
        <v>241.14296186301374</v>
      </c>
      <c r="X38" s="32">
        <f t="shared" si="15"/>
        <v>245.87125523287676</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232</v>
      </c>
      <c r="T39" s="213" t="s">
        <v>5010</v>
      </c>
      <c r="U39" s="213">
        <v>200.2</v>
      </c>
      <c r="V39" s="213">
        <f t="shared" si="6"/>
        <v>238.87315506849319</v>
      </c>
      <c r="W39" s="32">
        <f t="shared" si="14"/>
        <v>243.65061816986307</v>
      </c>
      <c r="X39" s="32">
        <f t="shared" si="15"/>
        <v>248.42808127123291</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231</v>
      </c>
      <c r="T40" s="213" t="s">
        <v>5018</v>
      </c>
      <c r="U40" s="213">
        <v>200</v>
      </c>
      <c r="V40" s="213">
        <f t="shared" si="6"/>
        <v>238.48109589041098</v>
      </c>
      <c r="W40" s="32">
        <f t="shared" si="14"/>
        <v>243.25071780821921</v>
      </c>
      <c r="X40" s="32">
        <f t="shared" si="15"/>
        <v>248.02033972602743</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467</v>
      </c>
      <c r="O41" s="114"/>
      <c r="P41" t="s">
        <v>25</v>
      </c>
      <c r="Q41" s="169">
        <v>850188</v>
      </c>
      <c r="R41" s="213" t="s">
        <v>5021</v>
      </c>
      <c r="S41" s="197">
        <f>S40-1</f>
        <v>230</v>
      </c>
      <c r="T41" s="213" t="s">
        <v>5022</v>
      </c>
      <c r="U41" s="213">
        <v>201.9</v>
      </c>
      <c r="V41" s="213">
        <f t="shared" si="6"/>
        <v>240.59178410958907</v>
      </c>
      <c r="W41" s="32">
        <f t="shared" si="14"/>
        <v>245.40361979178087</v>
      </c>
      <c r="X41" s="32">
        <f t="shared" si="15"/>
        <v>250.21545547397264</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224</v>
      </c>
      <c r="T42" s="213" t="s">
        <v>5037</v>
      </c>
      <c r="U42" s="213">
        <v>210.1</v>
      </c>
      <c r="V42" s="213">
        <f t="shared" si="6"/>
        <v>249.39618301369862</v>
      </c>
      <c r="W42" s="32">
        <f t="shared" si="14"/>
        <v>254.38410667397258</v>
      </c>
      <c r="X42" s="32">
        <f t="shared" si="15"/>
        <v>259.37203033424657</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5452</v>
      </c>
      <c r="L43" s="117">
        <v>0</v>
      </c>
      <c r="M43" s="21" t="s">
        <v>4380</v>
      </c>
      <c r="N43" s="117">
        <f t="shared" ref="N43" si="16">O43*P43</f>
        <v>0</v>
      </c>
      <c r="O43" s="69">
        <v>0</v>
      </c>
      <c r="P43" s="69">
        <v>6432.5</v>
      </c>
      <c r="Q43" s="169">
        <v>102858</v>
      </c>
      <c r="R43" s="213" t="s">
        <v>5054</v>
      </c>
      <c r="S43" s="197">
        <f>S42-6</f>
        <v>218</v>
      </c>
      <c r="T43" s="213" t="s">
        <v>5057</v>
      </c>
      <c r="U43" s="213">
        <v>213.3</v>
      </c>
      <c r="V43" s="213">
        <f t="shared" si="6"/>
        <v>252.21293260273976</v>
      </c>
      <c r="W43" s="32">
        <f t="shared" si="14"/>
        <v>257.25719125479458</v>
      </c>
      <c r="X43" s="32">
        <f t="shared" si="15"/>
        <v>262.30144990684937</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5429</v>
      </c>
      <c r="N44" s="117">
        <f t="shared" ref="N44:N52" si="17">O44*P44</f>
        <v>0</v>
      </c>
      <c r="O44" s="69">
        <v>0</v>
      </c>
      <c r="P44" s="69">
        <v>77308.2</v>
      </c>
      <c r="Q44" s="169">
        <v>9991144</v>
      </c>
      <c r="R44" s="213" t="s">
        <v>5061</v>
      </c>
      <c r="S44" s="197">
        <f>S43-2</f>
        <v>216</v>
      </c>
      <c r="T44" s="213" t="s">
        <v>5063</v>
      </c>
      <c r="U44" s="213">
        <v>221</v>
      </c>
      <c r="V44" s="213">
        <f t="shared" si="6"/>
        <v>260.978597260274</v>
      </c>
      <c r="W44" s="32">
        <f t="shared" si="14"/>
        <v>266.19816920547947</v>
      </c>
      <c r="X44" s="32">
        <f t="shared" si="15"/>
        <v>271.41774115068495</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76465540.799999997</v>
      </c>
      <c r="O45" s="69">
        <v>74448</v>
      </c>
      <c r="P45" s="69">
        <v>1027.0999999999999</v>
      </c>
      <c r="Q45" s="169">
        <v>23124984</v>
      </c>
      <c r="R45" s="213" t="s">
        <v>5091</v>
      </c>
      <c r="S45" s="197">
        <f>S44-19</f>
        <v>197</v>
      </c>
      <c r="T45" s="213" t="s">
        <v>5094</v>
      </c>
      <c r="U45" s="213">
        <v>234</v>
      </c>
      <c r="V45" s="213">
        <f t="shared" si="6"/>
        <v>272.91964931506851</v>
      </c>
      <c r="W45" s="32">
        <f t="shared" si="14"/>
        <v>278.37804230136987</v>
      </c>
      <c r="X45" s="32">
        <f t="shared" si="15"/>
        <v>283.83643528767124</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5475</v>
      </c>
      <c r="N46" s="117">
        <f t="shared" si="17"/>
        <v>73500</v>
      </c>
      <c r="O46" s="69">
        <v>50</v>
      </c>
      <c r="P46" s="69">
        <v>1470</v>
      </c>
      <c r="Q46" s="169">
        <v>25661167</v>
      </c>
      <c r="R46" s="213" t="s">
        <v>5095</v>
      </c>
      <c r="S46" s="197">
        <f>S45-1</f>
        <v>196</v>
      </c>
      <c r="T46" s="213" t="s">
        <v>5205</v>
      </c>
      <c r="U46" s="213">
        <v>224</v>
      </c>
      <c r="V46" s="213">
        <f t="shared" si="6"/>
        <v>261.08458082191783</v>
      </c>
      <c r="W46" s="32">
        <f t="shared" si="14"/>
        <v>266.30627243835619</v>
      </c>
      <c r="X46" s="32">
        <f t="shared" si="15"/>
        <v>271.52796405479455</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5308</v>
      </c>
      <c r="L47" s="117">
        <f>-1200*P52</f>
        <v>-16260000</v>
      </c>
      <c r="M47" s="19" t="s">
        <v>4915</v>
      </c>
      <c r="N47" s="117">
        <f t="shared" si="17"/>
        <v>7111755</v>
      </c>
      <c r="O47" s="69">
        <v>2954</v>
      </c>
      <c r="P47" s="69">
        <v>2407.5</v>
      </c>
      <c r="Q47" s="169">
        <v>741022</v>
      </c>
      <c r="R47" s="213" t="s">
        <v>5120</v>
      </c>
      <c r="S47" s="197">
        <f>S46-42</f>
        <v>154</v>
      </c>
      <c r="T47" s="213" t="s">
        <v>5166</v>
      </c>
      <c r="U47" s="213">
        <v>737.6</v>
      </c>
      <c r="V47" s="213">
        <f t="shared" si="6"/>
        <v>835.94936109589059</v>
      </c>
      <c r="W47" s="32">
        <f t="shared" si="14"/>
        <v>852.66834831780841</v>
      </c>
      <c r="X47" s="32">
        <f t="shared" si="15"/>
        <v>869.38733553972622</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18996954.300000001</v>
      </c>
      <c r="O48" s="69">
        <v>2703</v>
      </c>
      <c r="P48" s="69">
        <v>7028.1</v>
      </c>
      <c r="Q48" s="169">
        <v>1866540</v>
      </c>
      <c r="R48" s="213" t="s">
        <v>5168</v>
      </c>
      <c r="S48" s="197">
        <f>S47-1</f>
        <v>153</v>
      </c>
      <c r="T48" s="213" t="s">
        <v>5169</v>
      </c>
      <c r="U48" s="213">
        <v>740.2</v>
      </c>
      <c r="V48" s="213">
        <f t="shared" si="6"/>
        <v>838.32821260273977</v>
      </c>
      <c r="W48" s="32">
        <f t="shared" ref="W48:W57" si="18">V48*(1+$W$19/100)</f>
        <v>855.09477685479453</v>
      </c>
      <c r="X48" s="32">
        <f t="shared" ref="X48:X57" si="19">V48*(1+$X$19/100)</f>
        <v>871.86134110684941</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4174</v>
      </c>
      <c r="N49" s="113">
        <f t="shared" si="17"/>
        <v>1234103298.8</v>
      </c>
      <c r="O49" s="99">
        <v>3078332</v>
      </c>
      <c r="P49" s="99">
        <v>400.9</v>
      </c>
      <c r="Q49" s="169">
        <v>1373184</v>
      </c>
      <c r="R49" s="213" t="s">
        <v>5172</v>
      </c>
      <c r="S49" s="197">
        <f>S48-3</f>
        <v>150</v>
      </c>
      <c r="T49" s="213" t="s">
        <v>5173</v>
      </c>
      <c r="U49" s="213">
        <v>750.6</v>
      </c>
      <c r="V49" s="213">
        <f t="shared" si="6"/>
        <v>848.37953095890418</v>
      </c>
      <c r="W49" s="32">
        <f t="shared" si="18"/>
        <v>865.34712157808224</v>
      </c>
      <c r="X49" s="32">
        <f t="shared" si="19"/>
        <v>882.31471219726041</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5390</v>
      </c>
      <c r="L50" s="117">
        <f>73500*P49</f>
        <v>29466150</v>
      </c>
      <c r="M50" s="19" t="s">
        <v>5200</v>
      </c>
      <c r="N50" s="113">
        <f t="shared" si="17"/>
        <v>0</v>
      </c>
      <c r="O50" s="99">
        <v>0</v>
      </c>
      <c r="P50" s="99">
        <v>4244</v>
      </c>
      <c r="Q50" s="169">
        <v>4660</v>
      </c>
      <c r="R50" s="213" t="s">
        <v>5179</v>
      </c>
      <c r="S50" s="197">
        <f>S49-2</f>
        <v>148</v>
      </c>
      <c r="T50" s="213" t="s">
        <v>5180</v>
      </c>
      <c r="U50" s="213">
        <v>773.1</v>
      </c>
      <c r="V50" s="213">
        <f t="shared" si="6"/>
        <v>872.62444602739731</v>
      </c>
      <c r="W50" s="32">
        <f t="shared" si="18"/>
        <v>890.07693494794523</v>
      </c>
      <c r="X50" s="32">
        <f t="shared" si="19"/>
        <v>907.52942386849327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5467</v>
      </c>
      <c r="L51" s="117">
        <v>-900000</v>
      </c>
      <c r="M51" s="21" t="s">
        <v>1083</v>
      </c>
      <c r="N51" s="117">
        <f t="shared" si="17"/>
        <v>0</v>
      </c>
      <c r="O51" s="69">
        <v>0</v>
      </c>
      <c r="P51" s="69">
        <v>505000</v>
      </c>
      <c r="Q51" s="169">
        <v>545132</v>
      </c>
      <c r="R51" s="213" t="s">
        <v>5181</v>
      </c>
      <c r="S51" s="197">
        <f>S50-1</f>
        <v>147</v>
      </c>
      <c r="T51" s="213" t="s">
        <v>5182</v>
      </c>
      <c r="U51" s="213">
        <v>778.5</v>
      </c>
      <c r="V51" s="213">
        <f t="shared" si="6"/>
        <v>878.12240547945214</v>
      </c>
      <c r="W51" s="32">
        <f t="shared" si="18"/>
        <v>895.68485358904115</v>
      </c>
      <c r="X51" s="32">
        <f t="shared" si="19"/>
        <v>913.24730169863028</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5468</v>
      </c>
      <c r="L52" s="117">
        <v>200000</v>
      </c>
      <c r="M52" s="73" t="s">
        <v>5199</v>
      </c>
      <c r="N52" s="117">
        <f t="shared" si="17"/>
        <v>0</v>
      </c>
      <c r="O52" s="69">
        <v>0</v>
      </c>
      <c r="P52" s="69">
        <v>13550</v>
      </c>
      <c r="Q52" s="169">
        <v>179841</v>
      </c>
      <c r="R52" s="213" t="s">
        <v>5198</v>
      </c>
      <c r="S52" s="197">
        <f>S51-8</f>
        <v>139</v>
      </c>
      <c r="T52" s="213" t="s">
        <v>5201</v>
      </c>
      <c r="U52" s="213">
        <v>791.2</v>
      </c>
      <c r="V52" s="213">
        <f t="shared" ref="V52:V83" si="20">U52*(1+$R$125+$Q$15*S52/36500)</f>
        <v>887.59200438356186</v>
      </c>
      <c r="W52" s="32">
        <f t="shared" si="18"/>
        <v>905.34384447123307</v>
      </c>
      <c r="X52" s="32">
        <f t="shared" si="19"/>
        <v>923.0956845589044</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136</v>
      </c>
      <c r="T53" s="213" t="s">
        <v>5204</v>
      </c>
      <c r="U53" s="213">
        <v>782.4</v>
      </c>
      <c r="V53" s="213">
        <f t="shared" si="20"/>
        <v>875.91930739726035</v>
      </c>
      <c r="W53" s="32">
        <f t="shared" si="18"/>
        <v>893.43769354520555</v>
      </c>
      <c r="X53" s="32">
        <f t="shared" si="19"/>
        <v>910.95607969315085</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135</v>
      </c>
      <c r="T54" s="213" t="s">
        <v>5209</v>
      </c>
      <c r="U54" s="213">
        <v>766.4</v>
      </c>
      <c r="V54" s="213">
        <f t="shared" si="20"/>
        <v>857.41892383561651</v>
      </c>
      <c r="W54" s="32">
        <f t="shared" si="18"/>
        <v>874.56730231232882</v>
      </c>
      <c r="X54" s="32">
        <f t="shared" si="19"/>
        <v>891.71568078904124</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c r="P55" s="115"/>
      <c r="Q55" s="169">
        <v>4937080</v>
      </c>
      <c r="R55" s="213" t="s">
        <v>5207</v>
      </c>
      <c r="S55" s="197">
        <f>S54</f>
        <v>135</v>
      </c>
      <c r="T55" s="213" t="s">
        <v>5210</v>
      </c>
      <c r="U55" s="213">
        <v>289.10000000000002</v>
      </c>
      <c r="V55" s="213">
        <f t="shared" si="20"/>
        <v>323.43399123287674</v>
      </c>
      <c r="W55" s="32">
        <f t="shared" si="18"/>
        <v>329.90267105753429</v>
      </c>
      <c r="X55" s="32">
        <f t="shared" si="19"/>
        <v>336.37135088219179</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129</v>
      </c>
      <c r="T56" s="213" t="s">
        <v>5216</v>
      </c>
      <c r="U56" s="213">
        <v>275.10000000000002</v>
      </c>
      <c r="V56" s="213">
        <f t="shared" si="20"/>
        <v>306.50511452054803</v>
      </c>
      <c r="W56" s="32">
        <f t="shared" si="18"/>
        <v>312.63521681095898</v>
      </c>
      <c r="X56" s="32">
        <f t="shared" si="19"/>
        <v>318.76531910136998</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128</v>
      </c>
      <c r="T57" s="213" t="s">
        <v>5221</v>
      </c>
      <c r="U57" s="213">
        <v>275.60000000000002</v>
      </c>
      <c r="V57" s="213">
        <f t="shared" si="20"/>
        <v>306.85077479452059</v>
      </c>
      <c r="W57" s="32">
        <f t="shared" si="18"/>
        <v>312.987790290411</v>
      </c>
      <c r="X57" s="32">
        <f t="shared" si="19"/>
        <v>319.12480578630141</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126</v>
      </c>
      <c r="T58" s="213" t="s">
        <v>5233</v>
      </c>
      <c r="U58" s="213">
        <v>288.5</v>
      </c>
      <c r="V58" s="213">
        <f t="shared" si="20"/>
        <v>320.77089863013703</v>
      </c>
      <c r="W58" s="32">
        <f t="shared" ref="W58:W80" si="21">V58*(1+$W$19/100)</f>
        <v>327.18631660273979</v>
      </c>
      <c r="X58" s="32">
        <f t="shared" ref="X58:X80" si="22">V58*(1+$X$19/100)</f>
        <v>333.6017345753425</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-S203</f>
        <v>-31865679.840176456</v>
      </c>
      <c r="Q59" s="169">
        <v>479691</v>
      </c>
      <c r="R59" s="213" t="s">
        <v>5257</v>
      </c>
      <c r="S59" s="197">
        <f>S58-4</f>
        <v>122</v>
      </c>
      <c r="T59" s="213" t="s">
        <v>5258</v>
      </c>
      <c r="U59" s="213">
        <v>7461.3</v>
      </c>
      <c r="V59" s="213">
        <f t="shared" si="20"/>
        <v>8273.0076723287675</v>
      </c>
      <c r="W59" s="32">
        <f t="shared" si="21"/>
        <v>8438.4678257753421</v>
      </c>
      <c r="X59" s="32">
        <f t="shared" si="22"/>
        <v>8603.9279792219186</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119</v>
      </c>
      <c r="T60" s="213" t="s">
        <v>5271</v>
      </c>
      <c r="U60" s="213">
        <v>7048.7</v>
      </c>
      <c r="V60" s="213">
        <f t="shared" si="20"/>
        <v>7799.2996482191784</v>
      </c>
      <c r="W60" s="32">
        <f t="shared" si="21"/>
        <v>7955.2856411835619</v>
      </c>
      <c r="X60" s="32">
        <f t="shared" si="22"/>
        <v>8111.2716341479454</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512931</v>
      </c>
      <c r="R61" s="213" t="s">
        <v>973</v>
      </c>
      <c r="S61" s="197">
        <f>S60-4</f>
        <v>115</v>
      </c>
      <c r="T61" s="213" t="s">
        <v>5280</v>
      </c>
      <c r="U61" s="213">
        <v>298.39999999999998</v>
      </c>
      <c r="V61" s="213">
        <f t="shared" si="20"/>
        <v>329.26028273972599</v>
      </c>
      <c r="W61" s="32">
        <f t="shared" si="21"/>
        <v>335.84548839452054</v>
      </c>
      <c r="X61" s="32">
        <f t="shared" si="22"/>
        <v>342.43069404931504</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1236699188.9539151</v>
      </c>
      <c r="Q62" s="169">
        <v>230024</v>
      </c>
      <c r="R62" s="213" t="s">
        <v>5285</v>
      </c>
      <c r="S62" s="197">
        <f>S61-3</f>
        <v>112</v>
      </c>
      <c r="T62" s="213" t="s">
        <v>5287</v>
      </c>
      <c r="U62" s="213">
        <v>296.2</v>
      </c>
      <c r="V62" s="213">
        <f t="shared" si="20"/>
        <v>326.15109479452053</v>
      </c>
      <c r="W62" s="32">
        <f t="shared" si="21"/>
        <v>332.67411669041093</v>
      </c>
      <c r="X62" s="32">
        <f t="shared" si="22"/>
        <v>339.19713858630138</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t="s">
        <v>598</v>
      </c>
      <c r="L63" s="113">
        <f>SUM(L16:L47)</f>
        <v>964849632.40590847</v>
      </c>
      <c r="M63" s="168"/>
      <c r="N63" s="113">
        <f>N16+N17+N34</f>
        <v>641053</v>
      </c>
      <c r="Q63" s="169">
        <v>1505833</v>
      </c>
      <c r="R63" s="213" t="s">
        <v>5285</v>
      </c>
      <c r="S63" s="197">
        <f>S62</f>
        <v>112</v>
      </c>
      <c r="T63" s="213" t="s">
        <v>5288</v>
      </c>
      <c r="U63" s="213">
        <v>6722.1</v>
      </c>
      <c r="V63" s="213">
        <f t="shared" si="20"/>
        <v>7401.8240186301382</v>
      </c>
      <c r="W63" s="32">
        <f t="shared" si="21"/>
        <v>7549.8604990027407</v>
      </c>
      <c r="X63" s="32">
        <f t="shared" si="22"/>
        <v>7697.896979375344</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t="s">
        <v>599</v>
      </c>
      <c r="L64" s="113">
        <f>L16+L17+L26</f>
        <v>6557576</v>
      </c>
      <c r="M64" s="113"/>
      <c r="N64" s="168"/>
      <c r="O64" s="115" t="s">
        <v>25</v>
      </c>
      <c r="P64" s="115"/>
      <c r="Q64" s="169">
        <v>908423</v>
      </c>
      <c r="R64" s="213" t="s">
        <v>990</v>
      </c>
      <c r="S64" s="197">
        <f>S63-6</f>
        <v>106</v>
      </c>
      <c r="T64" s="213" t="s">
        <v>5300</v>
      </c>
      <c r="U64" s="213">
        <v>6905</v>
      </c>
      <c r="V64" s="213">
        <f t="shared" si="20"/>
        <v>7571.4365479452063</v>
      </c>
      <c r="W64" s="32">
        <f t="shared" si="21"/>
        <v>7722.8652789041107</v>
      </c>
      <c r="X64" s="32">
        <f t="shared" si="22"/>
        <v>7874.2940098630152</v>
      </c>
      <c r="Y64" t="s">
        <v>25</v>
      </c>
      <c r="Z64" s="96"/>
      <c r="AA64" s="96"/>
      <c r="AB64" s="96"/>
      <c r="AC64" s="96"/>
      <c r="AH64" s="20">
        <v>45</v>
      </c>
      <c r="AI64" s="117" t="s">
        <v>4104</v>
      </c>
      <c r="AJ64" s="117">
        <v>1300000</v>
      </c>
      <c r="AK64" s="20">
        <v>0</v>
      </c>
      <c r="AL64" s="99">
        <f>AL65+AK64</f>
        <v>508</v>
      </c>
      <c r="AM64" s="113">
        <f t="shared" si="11"/>
        <v>660400000</v>
      </c>
      <c r="AN64" s="20"/>
    </row>
    <row r="65" spans="1:40">
      <c r="K65" s="56" t="s">
        <v>715</v>
      </c>
      <c r="L65" s="1">
        <f>L63+N7</f>
        <v>1064849632.4059085</v>
      </c>
      <c r="O65" s="96"/>
      <c r="P65" s="96"/>
      <c r="Q65" s="169">
        <v>5102831</v>
      </c>
      <c r="R65" s="213" t="s">
        <v>4272</v>
      </c>
      <c r="S65" s="197">
        <f>S64-1</f>
        <v>105</v>
      </c>
      <c r="T65" s="213" t="s">
        <v>5303</v>
      </c>
      <c r="U65" s="213">
        <v>310.3</v>
      </c>
      <c r="V65" s="213">
        <f t="shared" si="20"/>
        <v>340.01058739726028</v>
      </c>
      <c r="W65" s="32">
        <f t="shared" si="21"/>
        <v>346.81079914520546</v>
      </c>
      <c r="X65" s="32">
        <f t="shared" si="22"/>
        <v>353.61101089315071</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M66" s="25"/>
      <c r="O66" t="s">
        <v>25</v>
      </c>
      <c r="Q66" s="169">
        <v>200222</v>
      </c>
      <c r="R66" s="213" t="s">
        <v>5307</v>
      </c>
      <c r="S66" s="197">
        <f>S65-5</f>
        <v>100</v>
      </c>
      <c r="T66" s="213" t="s">
        <v>5313</v>
      </c>
      <c r="U66" s="213">
        <v>300.60000000000002</v>
      </c>
      <c r="V66" s="213">
        <f t="shared" si="20"/>
        <v>328.22884602739731</v>
      </c>
      <c r="W66" s="32">
        <f t="shared" si="21"/>
        <v>334.79342294794526</v>
      </c>
      <c r="X66" s="32">
        <f t="shared" si="22"/>
        <v>341.35799986849321</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M67" s="25" t="s">
        <v>4077</v>
      </c>
      <c r="N67" s="284" t="s">
        <v>5385</v>
      </c>
      <c r="O67" s="96" t="s">
        <v>25</v>
      </c>
      <c r="P67" s="115"/>
      <c r="Q67" s="169">
        <v>188509</v>
      </c>
      <c r="R67" s="213" t="s">
        <v>5314</v>
      </c>
      <c r="S67" s="197">
        <f>S66-1</f>
        <v>99</v>
      </c>
      <c r="T67" s="213" t="s">
        <v>5315</v>
      </c>
      <c r="U67" s="213">
        <v>306.10000000000002</v>
      </c>
      <c r="V67" s="213">
        <f t="shared" si="20"/>
        <v>333.9995473972603</v>
      </c>
      <c r="W67" s="32">
        <f t="shared" si="21"/>
        <v>340.67953834520551</v>
      </c>
      <c r="X67" s="32">
        <f t="shared" si="22"/>
        <v>347.35952929315073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M68" s="177"/>
      <c r="N68" s="96"/>
      <c r="O68" s="96"/>
      <c r="P68" s="115"/>
      <c r="Q68" s="169">
        <v>458868</v>
      </c>
      <c r="R68" s="213" t="s">
        <v>5316</v>
      </c>
      <c r="S68" s="197">
        <f>S67-2</f>
        <v>97</v>
      </c>
      <c r="T68" s="213" t="s">
        <v>5318</v>
      </c>
      <c r="U68" s="213">
        <v>304.5</v>
      </c>
      <c r="V68" s="213">
        <f t="shared" si="20"/>
        <v>331.78653698630137</v>
      </c>
      <c r="W68" s="32">
        <f t="shared" si="21"/>
        <v>338.42226772602743</v>
      </c>
      <c r="X68" s="32">
        <f t="shared" si="22"/>
        <v>345.05799846575343</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96" t="s">
        <v>4785</v>
      </c>
      <c r="N69" s="96"/>
      <c r="O69" s="96"/>
      <c r="Q69" s="169">
        <v>1962799</v>
      </c>
      <c r="R69" s="213" t="s">
        <v>5322</v>
      </c>
      <c r="S69" s="197">
        <f>S68-3</f>
        <v>94</v>
      </c>
      <c r="T69" s="213" t="s">
        <v>5353</v>
      </c>
      <c r="U69" s="213">
        <v>6513.1</v>
      </c>
      <c r="V69" s="213">
        <f t="shared" si="20"/>
        <v>7081.7560843835627</v>
      </c>
      <c r="W69" s="32">
        <f t="shared" si="21"/>
        <v>7223.3912060712337</v>
      </c>
      <c r="X69" s="32">
        <f t="shared" si="22"/>
        <v>7365.0263277589056</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122" t="s">
        <v>4399</v>
      </c>
      <c r="O70" s="114"/>
      <c r="Q70" s="169">
        <v>459771</v>
      </c>
      <c r="R70" s="213" t="s">
        <v>5322</v>
      </c>
      <c r="S70" s="197">
        <f>S69</f>
        <v>94</v>
      </c>
      <c r="T70" s="213" t="s">
        <v>5323</v>
      </c>
      <c r="U70" s="213">
        <v>305.10000000000002</v>
      </c>
      <c r="V70" s="213">
        <f t="shared" si="20"/>
        <v>331.73815561643841</v>
      </c>
      <c r="W70" s="32">
        <f t="shared" si="21"/>
        <v>338.37291872876716</v>
      </c>
      <c r="X70" s="32">
        <f t="shared" si="22"/>
        <v>345.00768184109597</v>
      </c>
      <c r="Y70" s="122" t="s">
        <v>25</v>
      </c>
      <c r="Z70" t="s">
        <v>25</v>
      </c>
      <c r="AH70" s="20">
        <v>50</v>
      </c>
      <c r="AI70" s="117" t="s">
        <v>4152</v>
      </c>
      <c r="AJ70" s="117">
        <v>12000000</v>
      </c>
      <c r="AK70" s="20">
        <v>1</v>
      </c>
      <c r="AL70" s="99">
        <f t="shared" si="23"/>
        <v>499</v>
      </c>
      <c r="AM70" s="117">
        <f t="shared" si="11"/>
        <v>5988000000</v>
      </c>
      <c r="AN70" s="20"/>
    </row>
    <row r="71" spans="1:40">
      <c r="G71" t="s">
        <v>4099</v>
      </c>
      <c r="M71" s="122" t="s">
        <v>4491</v>
      </c>
      <c r="N71" s="96"/>
      <c r="Q71" s="169">
        <v>101835</v>
      </c>
      <c r="R71" s="213" t="s">
        <v>5325</v>
      </c>
      <c r="S71" s="197">
        <f>S70-2</f>
        <v>92</v>
      </c>
      <c r="T71" s="213" t="s">
        <v>5326</v>
      </c>
      <c r="U71" s="213">
        <v>304.39999999999998</v>
      </c>
      <c r="V71" s="213">
        <f t="shared" si="20"/>
        <v>330.51001424657534</v>
      </c>
      <c r="W71" s="32">
        <f t="shared" si="21"/>
        <v>337.12021453150686</v>
      </c>
      <c r="X71" s="32">
        <f t="shared" si="22"/>
        <v>343.73041481643838</v>
      </c>
      <c r="Y71" s="122" t="s">
        <v>25</v>
      </c>
      <c r="Z71" t="s">
        <v>25</v>
      </c>
      <c r="AH71" s="20">
        <v>51</v>
      </c>
      <c r="AI71" s="117" t="s">
        <v>4157</v>
      </c>
      <c r="AJ71" s="117">
        <v>15500000</v>
      </c>
      <c r="AK71" s="20">
        <v>4</v>
      </c>
      <c r="AL71" s="99">
        <f t="shared" si="23"/>
        <v>498</v>
      </c>
      <c r="AM71" s="117">
        <f t="shared" si="11"/>
        <v>7719000000</v>
      </c>
      <c r="AN71" s="20"/>
    </row>
    <row r="72" spans="1:40">
      <c r="G72" t="s">
        <v>4103</v>
      </c>
      <c r="M72" s="122" t="s">
        <v>4561</v>
      </c>
      <c r="N72" s="96"/>
      <c r="O72" s="285"/>
      <c r="P72" t="s">
        <v>25</v>
      </c>
      <c r="Q72" s="169">
        <v>154568</v>
      </c>
      <c r="R72" s="213" t="s">
        <v>5327</v>
      </c>
      <c r="S72" s="197">
        <f>S71-2</f>
        <v>90</v>
      </c>
      <c r="T72" s="213" t="s">
        <v>5330</v>
      </c>
      <c r="U72" s="213">
        <v>6690</v>
      </c>
      <c r="V72" s="213">
        <f t="shared" si="20"/>
        <v>7253.5729315068511</v>
      </c>
      <c r="W72" s="32">
        <f t="shared" si="21"/>
        <v>7398.6443901369885</v>
      </c>
      <c r="X72" s="32">
        <f t="shared" si="22"/>
        <v>7543.715848767125</v>
      </c>
      <c r="Y72" s="122" t="s">
        <v>25</v>
      </c>
      <c r="Z72" t="s">
        <v>25</v>
      </c>
      <c r="AH72" s="20">
        <v>52</v>
      </c>
      <c r="AI72" s="117" t="s">
        <v>4161</v>
      </c>
      <c r="AJ72" s="117">
        <v>150000</v>
      </c>
      <c r="AK72" s="20">
        <v>1</v>
      </c>
      <c r="AL72" s="99">
        <f t="shared" si="23"/>
        <v>494</v>
      </c>
      <c r="AM72" s="117">
        <f t="shared" si="11"/>
        <v>74100000</v>
      </c>
      <c r="AN72" s="20"/>
    </row>
    <row r="73" spans="1:40" ht="30">
      <c r="G73" t="s">
        <v>4102</v>
      </c>
      <c r="M73" s="206" t="s">
        <v>4676</v>
      </c>
      <c r="N73" s="96"/>
      <c r="P73" s="115"/>
      <c r="Q73" s="169">
        <v>306634</v>
      </c>
      <c r="R73" s="213" t="s">
        <v>5339</v>
      </c>
      <c r="S73" s="197">
        <f>S72-5</f>
        <v>85</v>
      </c>
      <c r="T73" s="213" t="s">
        <v>5341</v>
      </c>
      <c r="U73" s="213">
        <v>303.7</v>
      </c>
      <c r="V73" s="213">
        <f t="shared" si="20"/>
        <v>328.119144109589</v>
      </c>
      <c r="W73" s="32">
        <f t="shared" si="21"/>
        <v>334.6815269917808</v>
      </c>
      <c r="X73" s="32">
        <f t="shared" si="22"/>
        <v>341.2439098739726</v>
      </c>
      <c r="Y73" t="s">
        <v>25</v>
      </c>
      <c r="AH73" s="179">
        <v>53</v>
      </c>
      <c r="AI73" s="180" t="s">
        <v>4167</v>
      </c>
      <c r="AJ73" s="180">
        <v>29000000</v>
      </c>
      <c r="AK73" s="179">
        <v>15</v>
      </c>
      <c r="AL73" s="179">
        <f t="shared" si="23"/>
        <v>493</v>
      </c>
      <c r="AM73" s="180">
        <f t="shared" si="11"/>
        <v>14297000000</v>
      </c>
      <c r="AN73" s="179" t="s">
        <v>4177</v>
      </c>
    </row>
    <row r="74" spans="1:40" ht="31.5">
      <c r="K74" s="212" t="s">
        <v>4721</v>
      </c>
      <c r="L74" s="22" t="s">
        <v>4697</v>
      </c>
      <c r="M74" s="259" t="s">
        <v>5030</v>
      </c>
      <c r="N74" s="96"/>
      <c r="P74" s="115" t="s">
        <v>25</v>
      </c>
      <c r="Q74" s="169">
        <v>14560405</v>
      </c>
      <c r="R74" s="213" t="s">
        <v>5387</v>
      </c>
      <c r="S74" s="197">
        <f>S73-54</f>
        <v>31</v>
      </c>
      <c r="T74" s="213" t="s">
        <v>5413</v>
      </c>
      <c r="U74" s="213">
        <v>6850</v>
      </c>
      <c r="V74" s="213">
        <f t="shared" si="20"/>
        <v>7117.0186301369868</v>
      </c>
      <c r="W74" s="32">
        <f t="shared" si="21"/>
        <v>7259.3590027397267</v>
      </c>
      <c r="X74" s="32">
        <f t="shared" si="22"/>
        <v>7401.6993753424667</v>
      </c>
      <c r="AH74" s="20">
        <v>54</v>
      </c>
      <c r="AI74" s="117" t="s">
        <v>4201</v>
      </c>
      <c r="AJ74" s="117">
        <v>-130000</v>
      </c>
      <c r="AK74" s="20">
        <v>7</v>
      </c>
      <c r="AL74" s="99">
        <f t="shared" si="23"/>
        <v>478</v>
      </c>
      <c r="AM74" s="117">
        <f t="shared" si="11"/>
        <v>-62140000</v>
      </c>
      <c r="AN74" s="20" t="s">
        <v>4203</v>
      </c>
    </row>
    <row r="75" spans="1:40">
      <c r="G75" s="48" t="s">
        <v>787</v>
      </c>
      <c r="H75" s="201" t="s">
        <v>476</v>
      </c>
      <c r="K75" t="s">
        <v>4722</v>
      </c>
      <c r="M75" s="122" t="s">
        <v>5333</v>
      </c>
      <c r="O75" t="s">
        <v>25</v>
      </c>
      <c r="P75" s="115"/>
      <c r="Q75" s="169">
        <v>3753413</v>
      </c>
      <c r="R75" s="213" t="s">
        <v>5411</v>
      </c>
      <c r="S75" s="197">
        <f>S74-11</f>
        <v>20</v>
      </c>
      <c r="T75" s="213" t="s">
        <v>5412</v>
      </c>
      <c r="U75" s="213">
        <v>337.1</v>
      </c>
      <c r="V75" s="213">
        <f t="shared" si="20"/>
        <v>347.39586520547954</v>
      </c>
      <c r="W75" s="32">
        <f t="shared" si="21"/>
        <v>354.34378250958912</v>
      </c>
      <c r="X75" s="32">
        <f t="shared" si="22"/>
        <v>361.29169981369876</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t="s">
        <v>4564</v>
      </c>
      <c r="L76" s="96"/>
      <c r="M76" s="96">
        <f>O49+O21+O30-O56</f>
        <v>5202807</v>
      </c>
      <c r="N76" s="113">
        <f>M76*P49</f>
        <v>2085805326.3</v>
      </c>
      <c r="P76" s="116"/>
      <c r="Q76" s="169">
        <v>2019531</v>
      </c>
      <c r="R76" s="213" t="s">
        <v>5449</v>
      </c>
      <c r="S76" s="197">
        <f>S75-18</f>
        <v>2</v>
      </c>
      <c r="T76" s="213" t="s">
        <v>5450</v>
      </c>
      <c r="U76" s="213">
        <v>391.7</v>
      </c>
      <c r="V76" s="213">
        <f t="shared" si="20"/>
        <v>398.25480438356169</v>
      </c>
      <c r="W76" s="32">
        <f t="shared" si="21"/>
        <v>406.2199004712329</v>
      </c>
      <c r="X76" s="32">
        <f t="shared" si="22"/>
        <v>414.18499655890417</v>
      </c>
      <c r="Y76" s="122" t="s">
        <v>25</v>
      </c>
      <c r="AH76" s="20">
        <v>56</v>
      </c>
      <c r="AI76" s="117" t="s">
        <v>4260</v>
      </c>
      <c r="AJ76" s="117">
        <v>-170000</v>
      </c>
      <c r="AK76" s="20">
        <v>3</v>
      </c>
      <c r="AL76" s="99">
        <f t="shared" si="23"/>
        <v>469</v>
      </c>
      <c r="AM76" s="117">
        <f t="shared" si="11"/>
        <v>-79730000</v>
      </c>
      <c r="AN76" s="20"/>
    </row>
    <row r="77" spans="1:40">
      <c r="D77" s="1" t="s">
        <v>305</v>
      </c>
      <c r="E77" s="1">
        <v>70000</v>
      </c>
      <c r="G77" s="47">
        <v>500000</v>
      </c>
      <c r="H77" s="201" t="s">
        <v>479</v>
      </c>
      <c r="K77" t="s">
        <v>4786</v>
      </c>
      <c r="M77" t="s">
        <v>4258</v>
      </c>
      <c r="P77" s="115"/>
      <c r="Q77" s="169">
        <v>108600</v>
      </c>
      <c r="R77" s="213" t="s">
        <v>5466</v>
      </c>
      <c r="S77" s="197">
        <f>S76-2</f>
        <v>0</v>
      </c>
      <c r="T77" s="213" t="s">
        <v>5469</v>
      </c>
      <c r="U77" s="213">
        <v>1059.8</v>
      </c>
      <c r="V77" s="213">
        <f t="shared" si="20"/>
        <v>1075.90896</v>
      </c>
      <c r="W77" s="32">
        <f t="shared" si="21"/>
        <v>1097.4271392000001</v>
      </c>
      <c r="X77" s="32">
        <f t="shared" si="22"/>
        <v>1118.9453183999999</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4787</v>
      </c>
      <c r="M78" t="s">
        <v>4566</v>
      </c>
      <c r="N78" t="s">
        <v>25</v>
      </c>
      <c r="P78" s="115"/>
      <c r="Q78" s="169">
        <v>70317</v>
      </c>
      <c r="R78" s="213" t="s">
        <v>5466</v>
      </c>
      <c r="S78" s="197">
        <f>S77</f>
        <v>0</v>
      </c>
      <c r="T78" s="213" t="s">
        <v>5476</v>
      </c>
      <c r="U78" s="213">
        <v>1400</v>
      </c>
      <c r="V78" s="213">
        <f t="shared" si="20"/>
        <v>1421.2800000000002</v>
      </c>
      <c r="W78" s="32">
        <f t="shared" si="21"/>
        <v>1449.7056000000002</v>
      </c>
      <c r="X78" s="32">
        <f t="shared" si="22"/>
        <v>1478.1312000000003</v>
      </c>
      <c r="Z78" t="s">
        <v>25</v>
      </c>
      <c r="AD78" s="115"/>
      <c r="AE78" s="115"/>
      <c r="AH78" s="20">
        <v>58</v>
      </c>
      <c r="AI78" s="117" t="s">
        <v>4283</v>
      </c>
      <c r="AJ78" s="117">
        <v>-11400000</v>
      </c>
      <c r="AK78" s="20">
        <v>13</v>
      </c>
      <c r="AL78" s="99">
        <f t="shared" ref="AL78:AL83" si="24">AL79+AK78</f>
        <v>463</v>
      </c>
      <c r="AM78" s="117">
        <f t="shared" si="11"/>
        <v>-5278200000</v>
      </c>
      <c r="AN78" s="20"/>
    </row>
    <row r="79" spans="1:40" ht="26.25">
      <c r="D79" s="1" t="s">
        <v>306</v>
      </c>
      <c r="E79" s="1">
        <v>80000</v>
      </c>
      <c r="G79" s="47">
        <v>0</v>
      </c>
      <c r="H79" s="201" t="s">
        <v>783</v>
      </c>
      <c r="K79" t="s">
        <v>4788</v>
      </c>
      <c r="M79" s="256"/>
      <c r="P79" s="115"/>
      <c r="Q79" s="169">
        <v>170141</v>
      </c>
      <c r="R79" s="213" t="s">
        <v>5477</v>
      </c>
      <c r="S79" s="197">
        <f>S78-4</f>
        <v>-4</v>
      </c>
      <c r="T79" s="213" t="s">
        <v>5480</v>
      </c>
      <c r="U79" s="213">
        <v>1026.4000000000001</v>
      </c>
      <c r="V79" s="213">
        <f t="shared" si="20"/>
        <v>1038.851778630137</v>
      </c>
      <c r="W79" s="32">
        <f t="shared" si="21"/>
        <v>1059.6288142027397</v>
      </c>
      <c r="X79" s="32">
        <f t="shared" si="22"/>
        <v>1080.4058497753426</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4524</v>
      </c>
      <c r="M80" t="s">
        <v>5001</v>
      </c>
      <c r="P80" s="115"/>
      <c r="Q80" s="169" t="s">
        <v>25</v>
      </c>
      <c r="R80" s="168" t="s">
        <v>25</v>
      </c>
      <c r="S80" s="168"/>
      <c r="T80" s="168"/>
      <c r="U80" s="168"/>
      <c r="V80" s="213">
        <f t="shared" si="20"/>
        <v>0</v>
      </c>
      <c r="W80" s="32">
        <f t="shared" si="21"/>
        <v>0</v>
      </c>
      <c r="X80" s="32">
        <f t="shared" si="22"/>
        <v>0</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4568</v>
      </c>
      <c r="M81" s="261" t="s">
        <v>5041</v>
      </c>
      <c r="P81" s="115"/>
      <c r="Q81" s="169">
        <f>SUM(N21:N24)-SUM(Q20:Q80)</f>
        <v>398153613.29999995</v>
      </c>
      <c r="R81" s="168"/>
      <c r="S81" s="168" t="s">
        <v>25</v>
      </c>
      <c r="T81" s="168"/>
      <c r="U81" s="168"/>
      <c r="V81" s="168"/>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4523</v>
      </c>
      <c r="M82" s="261" t="s">
        <v>5042</v>
      </c>
      <c r="O82" t="s">
        <v>25</v>
      </c>
      <c r="P82" t="s">
        <v>25</v>
      </c>
      <c r="R82" s="115" t="s">
        <v>25</v>
      </c>
      <c r="S82" s="115" t="s">
        <v>25</v>
      </c>
      <c r="T82" s="122" t="s">
        <v>25</v>
      </c>
      <c r="U82" s="115" t="s">
        <v>25</v>
      </c>
      <c r="V82" s="115" t="s">
        <v>25</v>
      </c>
      <c r="W82" s="194" t="s">
        <v>25</v>
      </c>
      <c r="X82" s="194"/>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s="22" t="s">
        <v>4234</v>
      </c>
      <c r="Q83" s="96"/>
      <c r="R83" s="115" t="s">
        <v>25</v>
      </c>
      <c r="S83" s="115"/>
      <c r="T83" s="115" t="s">
        <v>25</v>
      </c>
      <c r="U83" s="115" t="s">
        <v>25</v>
      </c>
      <c r="V83" s="122" t="s">
        <v>25</v>
      </c>
      <c r="W83" s="194"/>
      <c r="X83" s="194" t="s">
        <v>25</v>
      </c>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4520</v>
      </c>
      <c r="Q84" s="168" t="s">
        <v>656</v>
      </c>
      <c r="R84" s="168"/>
      <c r="S84" s="168"/>
      <c r="T84" s="168"/>
      <c r="U84" s="168"/>
      <c r="V84" s="168"/>
      <c r="W84" s="32"/>
      <c r="X84" s="32"/>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ht="30">
      <c r="D85" s="32" t="s">
        <v>312</v>
      </c>
      <c r="E85" s="1">
        <v>200000</v>
      </c>
      <c r="G85" s="47">
        <v>50000</v>
      </c>
      <c r="H85" s="48" t="s">
        <v>791</v>
      </c>
      <c r="K85" t="s">
        <v>4287</v>
      </c>
      <c r="Q85" s="168" t="s">
        <v>267</v>
      </c>
      <c r="R85" s="168" t="s">
        <v>180</v>
      </c>
      <c r="S85" s="168" t="s">
        <v>183</v>
      </c>
      <c r="T85" s="168" t="s">
        <v>8</v>
      </c>
      <c r="U85" s="168" t="s">
        <v>4353</v>
      </c>
      <c r="V85" s="73" t="s">
        <v>4355</v>
      </c>
      <c r="W85" s="32">
        <v>2</v>
      </c>
      <c r="X85" s="32">
        <v>4</v>
      </c>
      <c r="Y85" s="96" t="s">
        <v>25</v>
      </c>
      <c r="Z85" s="115"/>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25</v>
      </c>
      <c r="M86" s="193" t="s">
        <v>4519</v>
      </c>
      <c r="Q86" s="168">
        <v>0</v>
      </c>
      <c r="R86" s="168" t="s">
        <v>4167</v>
      </c>
      <c r="S86" s="168">
        <f>S129</f>
        <v>493</v>
      </c>
      <c r="T86" s="168"/>
      <c r="U86" s="168"/>
      <c r="V86" s="73"/>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c r="D87" s="32" t="s">
        <v>315</v>
      </c>
      <c r="E87" s="1">
        <v>50000</v>
      </c>
      <c r="G87" s="47"/>
      <c r="H87" s="48" t="s">
        <v>25</v>
      </c>
      <c r="J87">
        <v>0</v>
      </c>
      <c r="K87" s="96"/>
      <c r="M87" t="s">
        <v>4520</v>
      </c>
      <c r="Q87" s="169">
        <v>863944</v>
      </c>
      <c r="R87" s="168" t="s">
        <v>4423</v>
      </c>
      <c r="S87" s="168">
        <f>S86-62</f>
        <v>431</v>
      </c>
      <c r="T87" s="190" t="s">
        <v>4494</v>
      </c>
      <c r="U87" s="168">
        <v>184.6</v>
      </c>
      <c r="V87" s="168">
        <f t="shared" ref="V87:V118" si="25">U87*(1+$R$125+$Q$15*S87/36500)</f>
        <v>248.44024328767125</v>
      </c>
      <c r="W87" s="32">
        <f t="shared" ref="W87:W111" si="26">V87*(1+$W$19/100)</f>
        <v>253.40904815342469</v>
      </c>
      <c r="X87" s="32">
        <f t="shared" ref="X87:X111" si="27">V87*(1+$X$19/100)</f>
        <v>258.37785301917813</v>
      </c>
      <c r="Y87" s="122" t="s">
        <v>25</v>
      </c>
      <c r="Z87" s="115"/>
      <c r="AA87" s="115"/>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s="96"/>
      <c r="M88" t="s">
        <v>4523</v>
      </c>
      <c r="Q88" s="169">
        <v>1692313</v>
      </c>
      <c r="R88" s="168" t="s">
        <v>4497</v>
      </c>
      <c r="S88" s="197">
        <f>S87-21</f>
        <v>410</v>
      </c>
      <c r="T88" s="189" t="s">
        <v>4498</v>
      </c>
      <c r="U88" s="168">
        <v>168.5</v>
      </c>
      <c r="V88" s="168">
        <f t="shared" si="25"/>
        <v>224.05791232876715</v>
      </c>
      <c r="W88" s="32">
        <f t="shared" si="26"/>
        <v>228.53907057534249</v>
      </c>
      <c r="X88" s="32">
        <f t="shared" si="27"/>
        <v>233.02022882191784</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96"/>
      <c r="M89" t="s">
        <v>4524</v>
      </c>
      <c r="Q89" s="169">
        <v>101153</v>
      </c>
      <c r="R89" s="168" t="s">
        <v>4500</v>
      </c>
      <c r="S89" s="197">
        <f>S88-1</f>
        <v>409</v>
      </c>
      <c r="T89" s="189" t="s">
        <v>4502</v>
      </c>
      <c r="U89" s="168">
        <v>166.7</v>
      </c>
      <c r="V89" s="168">
        <f t="shared" si="25"/>
        <v>221.53653589041096</v>
      </c>
      <c r="W89" s="32">
        <f t="shared" si="26"/>
        <v>225.96726660821918</v>
      </c>
      <c r="X89" s="32">
        <f t="shared" si="27"/>
        <v>230.39799732602739</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s="96"/>
      <c r="N90" s="96"/>
      <c r="Q90" s="169">
        <v>183105</v>
      </c>
      <c r="R90" s="168" t="s">
        <v>4222</v>
      </c>
      <c r="S90" s="197">
        <f>S89-1</f>
        <v>408</v>
      </c>
      <c r="T90" s="189" t="s">
        <v>4506</v>
      </c>
      <c r="U90" s="168">
        <v>166.6</v>
      </c>
      <c r="V90" s="168">
        <f t="shared" si="25"/>
        <v>221.27583780821919</v>
      </c>
      <c r="W90" s="32">
        <f t="shared" si="26"/>
        <v>225.70135456438359</v>
      </c>
      <c r="X90" s="32">
        <f t="shared" si="27"/>
        <v>230.12687132054796</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L91" s="96"/>
      <c r="M91" s="96"/>
      <c r="N91" s="96"/>
      <c r="Q91" s="169">
        <v>168846</v>
      </c>
      <c r="R91" s="168" t="s">
        <v>3688</v>
      </c>
      <c r="S91" s="197">
        <f>S90-30</f>
        <v>378</v>
      </c>
      <c r="T91" s="189" t="s">
        <v>4603</v>
      </c>
      <c r="U91" s="168">
        <v>172.2</v>
      </c>
      <c r="V91" s="168">
        <f t="shared" si="25"/>
        <v>224.75072219178082</v>
      </c>
      <c r="W91" s="32">
        <f t="shared" si="26"/>
        <v>229.24573663561645</v>
      </c>
      <c r="X91" s="32">
        <f t="shared" si="27"/>
        <v>233.74075107945205</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L92" s="96"/>
      <c r="Q92" s="169">
        <v>19918023</v>
      </c>
      <c r="R92" s="5" t="s">
        <v>4846</v>
      </c>
      <c r="S92" s="197">
        <f>S91-75</f>
        <v>303</v>
      </c>
      <c r="T92" s="189" t="s">
        <v>4848</v>
      </c>
      <c r="U92" s="213">
        <v>183</v>
      </c>
      <c r="V92" s="213">
        <f t="shared" si="25"/>
        <v>228.3178191780822</v>
      </c>
      <c r="W92" s="32">
        <f t="shared" si="26"/>
        <v>232.88417556164384</v>
      </c>
      <c r="X92" s="32">
        <f t="shared" si="27"/>
        <v>237.45053194520551</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t="s">
        <v>25</v>
      </c>
      <c r="G93" s="96"/>
      <c r="H93" s="96"/>
      <c r="I93" s="96"/>
      <c r="J93" s="96"/>
      <c r="K93" s="96"/>
      <c r="M93" t="s">
        <v>5352</v>
      </c>
      <c r="Q93" s="169">
        <v>1200301</v>
      </c>
      <c r="R93" s="19" t="s">
        <v>4932</v>
      </c>
      <c r="S93" s="197">
        <f>S92-34</f>
        <v>269</v>
      </c>
      <c r="T93" s="189" t="s">
        <v>4934</v>
      </c>
      <c r="U93" s="213">
        <v>218.5</v>
      </c>
      <c r="V93" s="213">
        <f t="shared" si="25"/>
        <v>266.91002191780825</v>
      </c>
      <c r="W93" s="32">
        <f t="shared" si="26"/>
        <v>272.24822235616443</v>
      </c>
      <c r="X93" s="32">
        <f t="shared" si="27"/>
        <v>277.58642279452062</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5358</v>
      </c>
      <c r="P94" s="115"/>
      <c r="Q94" s="169">
        <v>6135206</v>
      </c>
      <c r="R94" s="19" t="s">
        <v>4961</v>
      </c>
      <c r="S94" s="197">
        <f>S93-16</f>
        <v>253</v>
      </c>
      <c r="T94" s="189" t="s">
        <v>4962</v>
      </c>
      <c r="U94" s="213">
        <v>196.2</v>
      </c>
      <c r="V94" s="213">
        <f t="shared" si="25"/>
        <v>237.26116602739728</v>
      </c>
      <c r="W94" s="32">
        <f t="shared" si="26"/>
        <v>242.00638934794523</v>
      </c>
      <c r="X94" s="32">
        <f t="shared" si="27"/>
        <v>246.75161266849318</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t="s">
        <v>25</v>
      </c>
      <c r="P95" s="128"/>
      <c r="Q95" s="169">
        <v>104578</v>
      </c>
      <c r="R95" s="19" t="s">
        <v>4983</v>
      </c>
      <c r="S95" s="197">
        <f>S94-9</f>
        <v>244</v>
      </c>
      <c r="T95" s="189" t="s">
        <v>4984</v>
      </c>
      <c r="U95" s="213">
        <v>199.8</v>
      </c>
      <c r="V95" s="213">
        <f t="shared" si="25"/>
        <v>240.23514082191784</v>
      </c>
      <c r="W95" s="32">
        <f t="shared" si="26"/>
        <v>245.03984363835619</v>
      </c>
      <c r="X95" s="32">
        <f t="shared" si="27"/>
        <v>249.84454645479457</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c r="G96" s="96"/>
      <c r="H96" s="96"/>
      <c r="I96" s="96"/>
      <c r="J96" s="96"/>
      <c r="K96" s="96" t="s">
        <v>25</v>
      </c>
      <c r="P96" s="128"/>
      <c r="Q96" s="169">
        <v>119253</v>
      </c>
      <c r="R96" s="19" t="s">
        <v>4988</v>
      </c>
      <c r="S96" s="197">
        <f>S95-3</f>
        <v>241</v>
      </c>
      <c r="T96" s="189" t="s">
        <v>4989</v>
      </c>
      <c r="U96" s="213">
        <v>199.5</v>
      </c>
      <c r="V96" s="213">
        <f t="shared" si="25"/>
        <v>239.41530410958907</v>
      </c>
      <c r="W96" s="32">
        <f t="shared" si="26"/>
        <v>244.20361019178085</v>
      </c>
      <c r="X96" s="32">
        <f t="shared" si="27"/>
        <v>248.99191627397263</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t="s">
        <v>25</v>
      </c>
      <c r="M97" s="96"/>
      <c r="N97" s="96"/>
      <c r="P97" s="115"/>
      <c r="Q97" s="169">
        <v>30004376</v>
      </c>
      <c r="R97" s="19" t="s">
        <v>5007</v>
      </c>
      <c r="S97" s="197">
        <f>S96-9</f>
        <v>232</v>
      </c>
      <c r="T97" s="189" t="s">
        <v>5008</v>
      </c>
      <c r="U97" s="213">
        <v>200</v>
      </c>
      <c r="V97" s="213">
        <f t="shared" si="25"/>
        <v>238.63452054794524</v>
      </c>
      <c r="W97" s="32">
        <f t="shared" si="26"/>
        <v>243.40721095890416</v>
      </c>
      <c r="X97" s="32">
        <f t="shared" si="27"/>
        <v>248.17990136986307</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t="s">
        <v>25</v>
      </c>
      <c r="L98" s="96"/>
      <c r="M98" s="96"/>
      <c r="N98" s="96"/>
      <c r="Q98" s="169">
        <v>119980</v>
      </c>
      <c r="R98" s="19" t="s">
        <v>5035</v>
      </c>
      <c r="S98" s="197">
        <f>S97-8</f>
        <v>224</v>
      </c>
      <c r="T98" s="189" t="s">
        <v>5038</v>
      </c>
      <c r="U98" s="213">
        <v>211</v>
      </c>
      <c r="V98" s="213">
        <f t="shared" si="25"/>
        <v>250.46451506849317</v>
      </c>
      <c r="W98" s="32">
        <f t="shared" si="26"/>
        <v>255.47380536986304</v>
      </c>
      <c r="X98" s="32">
        <f t="shared" si="27"/>
        <v>260.48309567123289</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s="96"/>
      <c r="M99" s="96"/>
      <c r="N99" s="96"/>
      <c r="Q99" s="169">
        <v>106716</v>
      </c>
      <c r="R99" s="19" t="s">
        <v>5054</v>
      </c>
      <c r="S99" s="197">
        <f>S98-6</f>
        <v>218</v>
      </c>
      <c r="T99" s="189" t="s">
        <v>5056</v>
      </c>
      <c r="U99" s="213">
        <v>213.3</v>
      </c>
      <c r="V99" s="213">
        <f t="shared" si="25"/>
        <v>252.21293260273976</v>
      </c>
      <c r="W99" s="32">
        <f t="shared" si="26"/>
        <v>257.25719125479458</v>
      </c>
      <c r="X99" s="32">
        <f t="shared" si="27"/>
        <v>262.30144990684937</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t="s">
        <v>25</v>
      </c>
      <c r="K100" t="s">
        <v>25</v>
      </c>
      <c r="L100" s="96"/>
      <c r="M100" s="96"/>
      <c r="N100" s="96"/>
      <c r="Q100" s="169">
        <v>1324444</v>
      </c>
      <c r="R100" s="19" t="s">
        <v>5054</v>
      </c>
      <c r="S100" s="197">
        <f>S99</f>
        <v>218</v>
      </c>
      <c r="T100" s="189" t="s">
        <v>5058</v>
      </c>
      <c r="U100" s="213">
        <v>821.9</v>
      </c>
      <c r="V100" s="213">
        <f t="shared" si="25"/>
        <v>971.84158136986309</v>
      </c>
      <c r="W100" s="32">
        <f t="shared" si="26"/>
        <v>991.27841299726038</v>
      </c>
      <c r="X100" s="32">
        <f t="shared" si="27"/>
        <v>1010.7152446246577</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J101" t="s">
        <v>25</v>
      </c>
      <c r="Q101" s="169">
        <v>240923</v>
      </c>
      <c r="R101" s="19" t="s">
        <v>5084</v>
      </c>
      <c r="S101" s="197">
        <f>S100-19</f>
        <v>199</v>
      </c>
      <c r="T101" s="189" t="s">
        <v>5086</v>
      </c>
      <c r="U101" s="213">
        <v>691.1</v>
      </c>
      <c r="V101" s="213">
        <f t="shared" si="25"/>
        <v>807.10634191780844</v>
      </c>
      <c r="W101" s="32">
        <f t="shared" si="26"/>
        <v>823.24846875616458</v>
      </c>
      <c r="X101" s="32">
        <f t="shared" si="27"/>
        <v>839.39059559452085</v>
      </c>
      <c r="Y101" s="96">
        <v>0</v>
      </c>
      <c r="AH101" s="99">
        <v>81</v>
      </c>
      <c r="AI101" s="113" t="s">
        <v>4543</v>
      </c>
      <c r="AJ101" s="113">
        <v>400000</v>
      </c>
      <c r="AK101" s="99">
        <v>0</v>
      </c>
      <c r="AL101" s="99">
        <f t="shared" si="28"/>
        <v>400</v>
      </c>
      <c r="AM101" s="117">
        <f t="shared" si="11"/>
        <v>160000000</v>
      </c>
      <c r="AN101" s="99"/>
    </row>
    <row r="102" spans="4:47">
      <c r="Q102" s="169">
        <v>1408805</v>
      </c>
      <c r="R102" s="19" t="s">
        <v>5091</v>
      </c>
      <c r="S102" s="197">
        <f>S101-2</f>
        <v>197</v>
      </c>
      <c r="T102" s="189" t="s">
        <v>5093</v>
      </c>
      <c r="U102" s="213">
        <v>235.2</v>
      </c>
      <c r="V102" s="213">
        <f t="shared" si="25"/>
        <v>274.31923726027401</v>
      </c>
      <c r="W102" s="32">
        <f t="shared" si="26"/>
        <v>279.80562200547951</v>
      </c>
      <c r="X102" s="32">
        <f t="shared" si="27"/>
        <v>285.292006750685</v>
      </c>
      <c r="Y102" s="96">
        <v>0</v>
      </c>
      <c r="AH102" s="99">
        <v>82</v>
      </c>
      <c r="AI102" s="113" t="s">
        <v>4543</v>
      </c>
      <c r="AJ102" s="113">
        <v>-2105421</v>
      </c>
      <c r="AK102" s="99">
        <v>1</v>
      </c>
      <c r="AL102" s="99">
        <f t="shared" si="28"/>
        <v>400</v>
      </c>
      <c r="AM102" s="117">
        <f t="shared" si="11"/>
        <v>-842168400</v>
      </c>
      <c r="AN102" s="99"/>
      <c r="AO102" t="s">
        <v>25</v>
      </c>
    </row>
    <row r="103" spans="4:47">
      <c r="F103" s="213" t="s">
        <v>4671</v>
      </c>
      <c r="G103" s="213" t="s">
        <v>939</v>
      </c>
      <c r="H103" s="213" t="s">
        <v>4661</v>
      </c>
      <c r="I103" s="213" t="s">
        <v>4660</v>
      </c>
      <c r="J103" s="32" t="s">
        <v>4525</v>
      </c>
      <c r="K103" s="213" t="s">
        <v>4654</v>
      </c>
      <c r="L103" s="32" t="s">
        <v>4656</v>
      </c>
      <c r="M103" s="32" t="s">
        <v>4630</v>
      </c>
      <c r="N103" s="213" t="s">
        <v>4631</v>
      </c>
      <c r="Q103" s="169">
        <v>4507053</v>
      </c>
      <c r="R103" s="19" t="s">
        <v>5095</v>
      </c>
      <c r="S103" s="197">
        <f>S102-1</f>
        <v>196</v>
      </c>
      <c r="T103" s="189" t="s">
        <v>5096</v>
      </c>
      <c r="U103" s="213">
        <v>225</v>
      </c>
      <c r="V103" s="213">
        <f t="shared" si="25"/>
        <v>262.25013698630136</v>
      </c>
      <c r="W103" s="32">
        <f t="shared" si="26"/>
        <v>267.49513972602739</v>
      </c>
      <c r="X103" s="32">
        <f t="shared" si="27"/>
        <v>272.74014246575342</v>
      </c>
      <c r="Y103" s="96">
        <v>10000</v>
      </c>
      <c r="AH103" s="99">
        <v>83</v>
      </c>
      <c r="AI103" s="113" t="s">
        <v>4546</v>
      </c>
      <c r="AJ103" s="113">
        <v>-5527618</v>
      </c>
      <c r="AK103" s="99">
        <v>0</v>
      </c>
      <c r="AL103" s="99">
        <f t="shared" si="28"/>
        <v>399</v>
      </c>
      <c r="AM103" s="117">
        <f t="shared" si="11"/>
        <v>-2205519582</v>
      </c>
      <c r="AN103" s="99"/>
    </row>
    <row r="104" spans="4:47">
      <c r="F104" s="199">
        <f>$L$112/G104</f>
        <v>12596.657520578699</v>
      </c>
      <c r="G104" s="199">
        <f>P49</f>
        <v>400.9</v>
      </c>
      <c r="H104" s="199" t="s">
        <v>4769</v>
      </c>
      <c r="I104" s="199" t="s">
        <v>4768</v>
      </c>
      <c r="J104" s="214" t="s">
        <v>4234</v>
      </c>
      <c r="K104" s="199">
        <v>175</v>
      </c>
      <c r="L104" s="215">
        <f t="shared" ref="L104:L109" si="29">K104*$L$112</f>
        <v>883750000</v>
      </c>
      <c r="M104" s="215">
        <f>N21+N30+N49</f>
        <v>2085805326.2999997</v>
      </c>
      <c r="N104" s="183">
        <f t="shared" ref="N104:N109" si="30">L104-M104</f>
        <v>-1202055326.2999997</v>
      </c>
      <c r="Q104" s="169">
        <v>1927152</v>
      </c>
      <c r="R104" s="19" t="s">
        <v>5089</v>
      </c>
      <c r="S104" s="197">
        <f>S103-1</f>
        <v>195</v>
      </c>
      <c r="T104" s="189" t="s">
        <v>5097</v>
      </c>
      <c r="U104" s="213">
        <v>232.6</v>
      </c>
      <c r="V104" s="213">
        <f t="shared" si="25"/>
        <v>270.92993095890415</v>
      </c>
      <c r="W104" s="32">
        <f t="shared" si="26"/>
        <v>276.34852957808226</v>
      </c>
      <c r="X104" s="32">
        <f t="shared" si="27"/>
        <v>281.76712819726032</v>
      </c>
      <c r="Y104" s="96">
        <v>5664</v>
      </c>
      <c r="AH104" s="99">
        <v>84</v>
      </c>
      <c r="AI104" s="113" t="s">
        <v>4546</v>
      </c>
      <c r="AJ104" s="113">
        <v>3900000</v>
      </c>
      <c r="AK104" s="99">
        <v>3</v>
      </c>
      <c r="AL104" s="99">
        <f t="shared" si="28"/>
        <v>399</v>
      </c>
      <c r="AM104" s="117">
        <f t="shared" si="11"/>
        <v>1556100000</v>
      </c>
      <c r="AN104" s="99"/>
    </row>
    <row r="105" spans="4:47">
      <c r="F105" s="213">
        <v>0</v>
      </c>
      <c r="G105" s="213">
        <v>0</v>
      </c>
      <c r="H105" s="213" t="s">
        <v>4936</v>
      </c>
      <c r="I105" s="213" t="s">
        <v>4937</v>
      </c>
      <c r="J105" s="32" t="s">
        <v>4384</v>
      </c>
      <c r="K105" s="213">
        <v>0</v>
      </c>
      <c r="L105" s="1">
        <f t="shared" si="29"/>
        <v>0</v>
      </c>
      <c r="M105" s="1">
        <f>0</f>
        <v>0</v>
      </c>
      <c r="N105" s="113">
        <f t="shared" si="30"/>
        <v>0</v>
      </c>
      <c r="Q105" s="169">
        <v>40486</v>
      </c>
      <c r="R105" s="19" t="s">
        <v>5114</v>
      </c>
      <c r="S105" s="197">
        <f>S104-13</f>
        <v>182</v>
      </c>
      <c r="T105" s="189" t="s">
        <v>5150</v>
      </c>
      <c r="U105" s="213">
        <v>707</v>
      </c>
      <c r="V105" s="213">
        <f t="shared" si="25"/>
        <v>816.45522191780833</v>
      </c>
      <c r="W105" s="32">
        <f t="shared" si="26"/>
        <v>832.78432635616446</v>
      </c>
      <c r="X105" s="32">
        <f t="shared" si="27"/>
        <v>849.1134307945207</v>
      </c>
      <c r="Y105" s="96">
        <v>10000</v>
      </c>
      <c r="AH105" s="99">
        <v>85</v>
      </c>
      <c r="AI105" s="113" t="s">
        <v>4547</v>
      </c>
      <c r="AJ105" s="113">
        <v>-3969754</v>
      </c>
      <c r="AK105" s="99">
        <v>1</v>
      </c>
      <c r="AL105" s="99">
        <f t="shared" si="28"/>
        <v>396</v>
      </c>
      <c r="AM105" s="117">
        <f t="shared" si="11"/>
        <v>-1572022584</v>
      </c>
      <c r="AN105" s="99"/>
    </row>
    <row r="106" spans="4:47">
      <c r="F106" s="199">
        <v>0</v>
      </c>
      <c r="G106" s="199">
        <v>0</v>
      </c>
      <c r="H106" s="199" t="s">
        <v>5090</v>
      </c>
      <c r="I106" s="199" t="s">
        <v>5089</v>
      </c>
      <c r="J106" s="214" t="s">
        <v>4380</v>
      </c>
      <c r="K106" s="199">
        <v>0</v>
      </c>
      <c r="L106" s="215">
        <f t="shared" si="29"/>
        <v>0</v>
      </c>
      <c r="M106" s="215">
        <f>0</f>
        <v>0</v>
      </c>
      <c r="N106" s="183">
        <f t="shared" si="30"/>
        <v>0</v>
      </c>
      <c r="Q106" s="169">
        <v>11503451</v>
      </c>
      <c r="R106" s="19" t="s">
        <v>5224</v>
      </c>
      <c r="S106" s="197">
        <f>S105-56</f>
        <v>126</v>
      </c>
      <c r="T106" s="189" t="s">
        <v>5225</v>
      </c>
      <c r="U106" s="213">
        <v>293.2</v>
      </c>
      <c r="V106" s="213">
        <f t="shared" si="25"/>
        <v>325.99662904109596</v>
      </c>
      <c r="W106" s="32">
        <f t="shared" si="26"/>
        <v>332.5165616219179</v>
      </c>
      <c r="X106" s="32">
        <f t="shared" si="27"/>
        <v>339.03649420273979</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f>$L$112/G107</f>
        <v>4916.7559147113234</v>
      </c>
      <c r="G107" s="213">
        <f>P45</f>
        <v>1027.0999999999999</v>
      </c>
      <c r="H107" s="213" t="s">
        <v>4663</v>
      </c>
      <c r="I107" s="213" t="s">
        <v>4662</v>
      </c>
      <c r="J107" s="32" t="s">
        <v>4398</v>
      </c>
      <c r="K107" s="213">
        <v>43</v>
      </c>
      <c r="L107" s="1">
        <f t="shared" si="29"/>
        <v>217150000</v>
      </c>
      <c r="M107" s="1">
        <f>N45+N24</f>
        <v>237797273.30000001</v>
      </c>
      <c r="N107" s="113">
        <f t="shared" si="30"/>
        <v>-20647273.300000012</v>
      </c>
      <c r="Q107" s="169">
        <v>6153126</v>
      </c>
      <c r="R107" s="19" t="s">
        <v>5257</v>
      </c>
      <c r="S107" s="197">
        <f>S106-4</f>
        <v>122</v>
      </c>
      <c r="T107" s="189" t="s">
        <v>5259</v>
      </c>
      <c r="U107" s="213">
        <v>7469.9</v>
      </c>
      <c r="V107" s="213">
        <f t="shared" si="25"/>
        <v>8282.5432580821926</v>
      </c>
      <c r="W107" s="32">
        <f t="shared" si="26"/>
        <v>8448.1941232438367</v>
      </c>
      <c r="X107" s="32">
        <f t="shared" si="27"/>
        <v>8613.8449884054808</v>
      </c>
      <c r="Y107" s="96"/>
      <c r="AA107" t="s">
        <v>25</v>
      </c>
      <c r="AH107" s="99">
        <v>87</v>
      </c>
      <c r="AI107" s="113" t="s">
        <v>4558</v>
      </c>
      <c r="AJ107" s="113">
        <v>4000000</v>
      </c>
      <c r="AK107" s="99">
        <v>1</v>
      </c>
      <c r="AL107" s="99">
        <f t="shared" si="28"/>
        <v>395</v>
      </c>
      <c r="AM107" s="117">
        <f t="shared" si="11"/>
        <v>1580000000</v>
      </c>
      <c r="AN107" s="99"/>
    </row>
    <row r="108" spans="4:47">
      <c r="F108" s="199"/>
      <c r="G108" s="199"/>
      <c r="H108" s="199"/>
      <c r="I108" s="199"/>
      <c r="J108" s="214" t="s">
        <v>4640</v>
      </c>
      <c r="K108" s="199">
        <v>1</v>
      </c>
      <c r="L108" s="215">
        <f t="shared" si="29"/>
        <v>5050000</v>
      </c>
      <c r="M108" s="215">
        <f>0</f>
        <v>0</v>
      </c>
      <c r="N108" s="183">
        <f t="shared" si="30"/>
        <v>5050000</v>
      </c>
      <c r="Q108" s="169">
        <v>1500533</v>
      </c>
      <c r="R108" s="19" t="s">
        <v>5261</v>
      </c>
      <c r="S108" s="197">
        <f>S107-1</f>
        <v>121</v>
      </c>
      <c r="T108" s="189" t="s">
        <v>5263</v>
      </c>
      <c r="U108" s="213">
        <v>7046</v>
      </c>
      <c r="V108" s="213">
        <f t="shared" si="25"/>
        <v>7807.1224328767139</v>
      </c>
      <c r="W108" s="32">
        <f t="shared" si="26"/>
        <v>7963.2648815342482</v>
      </c>
      <c r="X108" s="32">
        <f t="shared" si="27"/>
        <v>8119.4073301917824</v>
      </c>
      <c r="Y108" s="96"/>
      <c r="AH108" s="99">
        <v>88</v>
      </c>
      <c r="AI108" s="113" t="s">
        <v>992</v>
      </c>
      <c r="AJ108" s="113">
        <v>-5000000</v>
      </c>
      <c r="AK108" s="99">
        <v>2</v>
      </c>
      <c r="AL108" s="99">
        <f t="shared" si="28"/>
        <v>394</v>
      </c>
      <c r="AM108" s="117">
        <f t="shared" si="11"/>
        <v>-1970000000</v>
      </c>
      <c r="AN108" s="99"/>
    </row>
    <row r="109" spans="4:47">
      <c r="F109" s="191"/>
      <c r="G109" s="191"/>
      <c r="H109" s="191"/>
      <c r="I109" s="191"/>
      <c r="J109" s="257" t="s">
        <v>5336</v>
      </c>
      <c r="K109" s="191">
        <v>235</v>
      </c>
      <c r="L109" s="258">
        <f t="shared" si="29"/>
        <v>1186750000</v>
      </c>
      <c r="M109" s="258">
        <v>0</v>
      </c>
      <c r="N109" s="86">
        <f t="shared" si="30"/>
        <v>1186750000</v>
      </c>
      <c r="Q109" s="169">
        <v>360926</v>
      </c>
      <c r="R109" s="19" t="s">
        <v>5270</v>
      </c>
      <c r="S109" s="197">
        <f>S108-2</f>
        <v>119</v>
      </c>
      <c r="T109" s="189" t="s">
        <v>5273</v>
      </c>
      <c r="U109" s="213">
        <v>7045</v>
      </c>
      <c r="V109" s="213">
        <f t="shared" si="25"/>
        <v>7795.2056438356176</v>
      </c>
      <c r="W109" s="32">
        <f t="shared" si="26"/>
        <v>7951.1097567123297</v>
      </c>
      <c r="X109" s="32">
        <f t="shared" si="27"/>
        <v>8107.0138695890428</v>
      </c>
      <c r="Y109" s="96"/>
      <c r="AD109" s="96"/>
      <c r="AE109"/>
      <c r="AF109"/>
      <c r="AH109" s="99">
        <v>89</v>
      </c>
      <c r="AI109" s="113" t="s">
        <v>4563</v>
      </c>
      <c r="AJ109" s="113">
        <v>10000000</v>
      </c>
      <c r="AK109" s="99">
        <v>4</v>
      </c>
      <c r="AL109" s="99">
        <f t="shared" si="28"/>
        <v>392</v>
      </c>
      <c r="AM109" s="117">
        <f t="shared" si="11"/>
        <v>3920000000</v>
      </c>
      <c r="AN109" s="99"/>
    </row>
    <row r="110" spans="4:47">
      <c r="F110" s="213"/>
      <c r="G110" s="213"/>
      <c r="H110" s="213"/>
      <c r="I110" s="213"/>
      <c r="J110" s="32" t="s">
        <v>4743</v>
      </c>
      <c r="K110" s="213"/>
      <c r="L110" s="1"/>
      <c r="M110" s="1"/>
      <c r="N110" s="113">
        <v>30000000</v>
      </c>
      <c r="O110" t="s">
        <v>25</v>
      </c>
      <c r="Q110" s="169">
        <v>183997</v>
      </c>
      <c r="R110" s="19" t="s">
        <v>5285</v>
      </c>
      <c r="S110" s="197">
        <f>S109-7</f>
        <v>112</v>
      </c>
      <c r="T110" s="189" t="s">
        <v>5419</v>
      </c>
      <c r="U110" s="213">
        <v>295.39999999999998</v>
      </c>
      <c r="V110" s="213">
        <f t="shared" si="25"/>
        <v>325.27020054794519</v>
      </c>
      <c r="W110" s="32">
        <f t="shared" si="26"/>
        <v>331.77560455890409</v>
      </c>
      <c r="X110" s="32">
        <f t="shared" si="27"/>
        <v>338.28100856986299</v>
      </c>
      <c r="AH110" s="99">
        <v>90</v>
      </c>
      <c r="AI110" s="113" t="s">
        <v>4565</v>
      </c>
      <c r="AJ110" s="113">
        <v>-5241937</v>
      </c>
      <c r="AK110" s="99">
        <v>0</v>
      </c>
      <c r="AL110" s="99">
        <f t="shared" si="28"/>
        <v>388</v>
      </c>
      <c r="AM110" s="117">
        <f t="shared" si="11"/>
        <v>-2033871556</v>
      </c>
      <c r="AN110" s="99"/>
    </row>
    <row r="111" spans="4:47">
      <c r="F111" s="199"/>
      <c r="G111" s="199"/>
      <c r="H111" s="199"/>
      <c r="I111" s="199"/>
      <c r="J111" s="214" t="s">
        <v>5116</v>
      </c>
      <c r="K111" s="199">
        <f>SUM(K104:K109)</f>
        <v>454</v>
      </c>
      <c r="L111" s="215"/>
      <c r="M111" s="215"/>
      <c r="N111" s="183"/>
      <c r="Q111" s="169">
        <v>1005042</v>
      </c>
      <c r="R111" s="19" t="s">
        <v>5295</v>
      </c>
      <c r="S111" s="197">
        <f>S110-5</f>
        <v>107</v>
      </c>
      <c r="T111" s="189" t="s">
        <v>5297</v>
      </c>
      <c r="U111" s="213">
        <v>7250</v>
      </c>
      <c r="V111" s="213">
        <f t="shared" si="25"/>
        <v>7955.2958904109591</v>
      </c>
      <c r="W111" s="32">
        <f t="shared" si="26"/>
        <v>8114.4018082191787</v>
      </c>
      <c r="X111" s="32">
        <f t="shared" si="27"/>
        <v>8273.5077260273974</v>
      </c>
      <c r="AH111" s="99">
        <v>91</v>
      </c>
      <c r="AI111" s="113" t="s">
        <v>4565</v>
      </c>
      <c r="AJ111" s="113">
        <v>21900000</v>
      </c>
      <c r="AK111" s="99">
        <v>2</v>
      </c>
      <c r="AL111" s="99">
        <f t="shared" si="28"/>
        <v>388</v>
      </c>
      <c r="AM111" s="117">
        <f t="shared" si="11"/>
        <v>8497200000</v>
      </c>
      <c r="AN111" s="99"/>
      <c r="AP111" t="s">
        <v>25</v>
      </c>
      <c r="AU111"/>
    </row>
    <row r="112" spans="4:47">
      <c r="F112" s="213"/>
      <c r="G112" s="213"/>
      <c r="H112" s="213" t="s">
        <v>25</v>
      </c>
      <c r="I112" s="213"/>
      <c r="J112" s="32"/>
      <c r="K112" s="213">
        <v>0</v>
      </c>
      <c r="L112" s="39">
        <f>10*P51</f>
        <v>5050000</v>
      </c>
      <c r="M112" s="1">
        <f>K112*L112</f>
        <v>0</v>
      </c>
      <c r="N112" s="113">
        <f>SUM(N104:N110)-M112</f>
        <v>-902599.59999966621</v>
      </c>
      <c r="P112" s="114"/>
      <c r="Q112" s="169">
        <v>268420</v>
      </c>
      <c r="R112" s="19" t="s">
        <v>5327</v>
      </c>
      <c r="S112" s="197">
        <f>S111-17</f>
        <v>90</v>
      </c>
      <c r="T112" s="189" t="s">
        <v>5329</v>
      </c>
      <c r="U112" s="213">
        <v>6680.2</v>
      </c>
      <c r="V112" s="213">
        <f t="shared" si="25"/>
        <v>7242.9473687671243</v>
      </c>
      <c r="W112" s="32">
        <f t="shared" ref="W112:W120" si="31">V112*(1+$W$19/100)</f>
        <v>7387.806316142467</v>
      </c>
      <c r="X112" s="32">
        <f t="shared" ref="X112:X120" si="32">V112*(1+$X$19/100)</f>
        <v>7532.6652635178098</v>
      </c>
      <c r="Y112">
        <v>13000</v>
      </c>
      <c r="AH112" s="99">
        <v>92</v>
      </c>
      <c r="AI112" s="113" t="s">
        <v>4573</v>
      </c>
      <c r="AJ112" s="113">
        <v>-15000000</v>
      </c>
      <c r="AK112" s="99">
        <v>0</v>
      </c>
      <c r="AL112" s="99">
        <f t="shared" si="28"/>
        <v>386</v>
      </c>
      <c r="AM112" s="117">
        <f t="shared" si="11"/>
        <v>-5790000000</v>
      </c>
      <c r="AN112" s="99"/>
      <c r="AO112" t="s">
        <v>25</v>
      </c>
    </row>
    <row r="113" spans="6:46">
      <c r="F113" s="199"/>
      <c r="G113" s="199"/>
      <c r="H113" s="199"/>
      <c r="I113" s="199"/>
      <c r="J113" s="214"/>
      <c r="K113" s="244"/>
      <c r="L113" s="215" t="s">
        <v>4244</v>
      </c>
      <c r="M113" s="215" t="s">
        <v>4648</v>
      </c>
      <c r="N113" s="183" t="s">
        <v>4649</v>
      </c>
      <c r="Q113" s="169">
        <v>802845</v>
      </c>
      <c r="R113" s="19" t="s">
        <v>5423</v>
      </c>
      <c r="S113" s="197">
        <f>S112-77</f>
        <v>13</v>
      </c>
      <c r="T113" s="189" t="s">
        <v>5426</v>
      </c>
      <c r="U113" s="213">
        <v>896.9</v>
      </c>
      <c r="V113" s="213">
        <f t="shared" si="25"/>
        <v>919.47730739726035</v>
      </c>
      <c r="W113" s="32">
        <f t="shared" si="31"/>
        <v>937.86685354520557</v>
      </c>
      <c r="X113" s="32">
        <f t="shared" si="32"/>
        <v>956.2563996931508</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4655</v>
      </c>
      <c r="K114" s="213"/>
      <c r="L114" s="1"/>
      <c r="M114" s="1"/>
      <c r="N114" s="113"/>
      <c r="Q114" s="169">
        <v>7338364</v>
      </c>
      <c r="R114" s="19" t="s">
        <v>5438</v>
      </c>
      <c r="S114" s="197">
        <f>S113-6</f>
        <v>7</v>
      </c>
      <c r="T114" s="189" t="s">
        <v>5440</v>
      </c>
      <c r="U114" s="213">
        <v>7305.2</v>
      </c>
      <c r="V114" s="213">
        <f t="shared" si="25"/>
        <v>7455.4669632876721</v>
      </c>
      <c r="W114" s="32">
        <f t="shared" si="31"/>
        <v>7604.5763025534261</v>
      </c>
      <c r="X114" s="32">
        <f t="shared" si="32"/>
        <v>7753.6856418191792</v>
      </c>
      <c r="Y114" t="s">
        <v>25</v>
      </c>
      <c r="AH114" s="99">
        <v>94</v>
      </c>
      <c r="AI114" s="113" t="s">
        <v>4577</v>
      </c>
      <c r="AJ114" s="113">
        <v>-2103736</v>
      </c>
      <c r="AK114" s="99">
        <v>0</v>
      </c>
      <c r="AL114" s="99">
        <f t="shared" si="28"/>
        <v>385</v>
      </c>
      <c r="AM114" s="117">
        <f t="shared" si="11"/>
        <v>-809938360</v>
      </c>
      <c r="AN114" s="99"/>
    </row>
    <row r="115" spans="6:46">
      <c r="M115" t="s">
        <v>25</v>
      </c>
      <c r="Q115" s="169">
        <v>19663296</v>
      </c>
      <c r="R115" s="19" t="s">
        <v>5438</v>
      </c>
      <c r="S115" s="197">
        <f>S114</f>
        <v>7</v>
      </c>
      <c r="T115" s="189" t="s">
        <v>5441</v>
      </c>
      <c r="U115" s="213">
        <v>397.8</v>
      </c>
      <c r="V115" s="213">
        <f t="shared" si="25"/>
        <v>405.98269150684939</v>
      </c>
      <c r="W115" s="32">
        <f t="shared" si="31"/>
        <v>414.10234533698639</v>
      </c>
      <c r="X115" s="32">
        <f t="shared" si="32"/>
        <v>422.22199916712339</v>
      </c>
      <c r="AH115" s="99">
        <v>95</v>
      </c>
      <c r="AI115" s="113" t="s">
        <v>4577</v>
      </c>
      <c r="AJ115" s="113">
        <v>220000</v>
      </c>
      <c r="AK115" s="99">
        <v>3</v>
      </c>
      <c r="AL115" s="99">
        <f t="shared" si="28"/>
        <v>385</v>
      </c>
      <c r="AM115" s="117">
        <f t="shared" si="11"/>
        <v>84700000</v>
      </c>
      <c r="AN115" s="99"/>
      <c r="AR115" s="96"/>
      <c r="AS115" s="96"/>
      <c r="AT115"/>
    </row>
    <row r="116" spans="6:46">
      <c r="P116" s="114"/>
      <c r="Q116" s="169">
        <v>12815561</v>
      </c>
      <c r="R116" s="19" t="s">
        <v>5449</v>
      </c>
      <c r="S116" s="197">
        <f>S115-5</f>
        <v>2</v>
      </c>
      <c r="T116" s="189" t="s">
        <v>5453</v>
      </c>
      <c r="U116" s="213">
        <v>391.2</v>
      </c>
      <c r="V116" s="213">
        <f t="shared" si="25"/>
        <v>397.74643726027404</v>
      </c>
      <c r="W116" s="32">
        <f t="shared" si="31"/>
        <v>405.70136600547954</v>
      </c>
      <c r="X116" s="32">
        <f t="shared" si="32"/>
        <v>413.65629475068499</v>
      </c>
      <c r="Y116">
        <v>23000</v>
      </c>
      <c r="AH116" s="99">
        <v>96</v>
      </c>
      <c r="AI116" s="113" t="s">
        <v>4586</v>
      </c>
      <c r="AJ116" s="113">
        <v>4000000</v>
      </c>
      <c r="AK116" s="99">
        <v>1</v>
      </c>
      <c r="AL116" s="99">
        <f t="shared" si="28"/>
        <v>382</v>
      </c>
      <c r="AM116" s="117">
        <f t="shared" si="11"/>
        <v>1528000000</v>
      </c>
      <c r="AN116" s="99"/>
    </row>
    <row r="117" spans="6:46">
      <c r="J117" s="114"/>
      <c r="K117" s="168" t="s">
        <v>4525</v>
      </c>
      <c r="L117" s="168" t="s">
        <v>4526</v>
      </c>
      <c r="M117" s="168" t="s">
        <v>4421</v>
      </c>
      <c r="N117" s="56" t="s">
        <v>190</v>
      </c>
      <c r="Q117" s="169">
        <v>70317</v>
      </c>
      <c r="R117" s="19" t="s">
        <v>5466</v>
      </c>
      <c r="S117" s="197">
        <f>S116-2</f>
        <v>0</v>
      </c>
      <c r="T117" s="189" t="s">
        <v>5476</v>
      </c>
      <c r="U117" s="213">
        <v>1400</v>
      </c>
      <c r="V117" s="213">
        <f t="shared" si="25"/>
        <v>1421.2800000000002</v>
      </c>
      <c r="W117" s="32">
        <f t="shared" si="31"/>
        <v>1449.7056000000002</v>
      </c>
      <c r="X117" s="32">
        <f t="shared" si="32"/>
        <v>1478.1312000000003</v>
      </c>
      <c r="Y117">
        <v>6000</v>
      </c>
      <c r="AH117" s="99">
        <v>97</v>
      </c>
      <c r="AI117" s="113" t="s">
        <v>4591</v>
      </c>
      <c r="AJ117" s="113">
        <v>-9000000</v>
      </c>
      <c r="AK117" s="99">
        <v>0</v>
      </c>
      <c r="AL117" s="99">
        <f t="shared" si="28"/>
        <v>381</v>
      </c>
      <c r="AM117" s="117">
        <f t="shared" si="11"/>
        <v>-3429000000</v>
      </c>
      <c r="AN117" s="99"/>
      <c r="AP117" t="s">
        <v>25</v>
      </c>
    </row>
    <row r="118" spans="6:46">
      <c r="H118" s="114"/>
      <c r="K118" s="168" t="s">
        <v>4234</v>
      </c>
      <c r="L118" s="169">
        <v>1100000</v>
      </c>
      <c r="M118" s="169">
        <v>1637000</v>
      </c>
      <c r="N118" s="168">
        <f t="shared" ref="N118:N126" si="33">(M118-L118)*100/L118</f>
        <v>48.81818181818182</v>
      </c>
      <c r="Q118" s="169">
        <v>129951</v>
      </c>
      <c r="R118" s="19" t="s">
        <v>5477</v>
      </c>
      <c r="S118" s="197">
        <f>S117-4</f>
        <v>-4</v>
      </c>
      <c r="T118" s="189" t="s">
        <v>5478</v>
      </c>
      <c r="U118" s="213">
        <v>1026.5</v>
      </c>
      <c r="V118" s="213">
        <f t="shared" si="25"/>
        <v>1038.952991780822</v>
      </c>
      <c r="W118" s="32">
        <f t="shared" si="31"/>
        <v>1059.7320516164384</v>
      </c>
      <c r="X118" s="32">
        <f t="shared" si="32"/>
        <v>1080.5111114520548</v>
      </c>
      <c r="AH118" s="99">
        <v>98</v>
      </c>
      <c r="AI118" s="113" t="s">
        <v>4591</v>
      </c>
      <c r="AJ118" s="113">
        <v>13900000</v>
      </c>
      <c r="AK118" s="99">
        <v>2</v>
      </c>
      <c r="AL118" s="99">
        <f t="shared" si="28"/>
        <v>381</v>
      </c>
      <c r="AM118" s="117">
        <f t="shared" si="11"/>
        <v>5295900000</v>
      </c>
      <c r="AN118" s="99"/>
    </row>
    <row r="119" spans="6:46">
      <c r="F119" s="96"/>
      <c r="G119" s="213"/>
      <c r="H119" s="213" t="s">
        <v>5283</v>
      </c>
      <c r="I119" s="213" t="s">
        <v>5461</v>
      </c>
      <c r="J119" s="1">
        <v>39922415</v>
      </c>
      <c r="K119" s="5" t="s">
        <v>4520</v>
      </c>
      <c r="L119" s="169">
        <v>1100000</v>
      </c>
      <c r="M119" s="169">
        <v>4748000</v>
      </c>
      <c r="N119" s="168">
        <f t="shared" si="33"/>
        <v>331.63636363636363</v>
      </c>
      <c r="Q119" s="169"/>
      <c r="R119" s="19"/>
      <c r="S119" s="197"/>
      <c r="T119" s="189"/>
      <c r="U119" s="213"/>
      <c r="V119" s="213"/>
      <c r="W119" s="32"/>
      <c r="X119" s="32"/>
      <c r="Y119">
        <v>3300</v>
      </c>
      <c r="AH119" s="99">
        <v>99</v>
      </c>
      <c r="AI119" s="113" t="s">
        <v>4600</v>
      </c>
      <c r="AJ119" s="113">
        <v>-8127577</v>
      </c>
      <c r="AK119" s="99">
        <v>1</v>
      </c>
      <c r="AL119" s="99">
        <f t="shared" si="28"/>
        <v>379</v>
      </c>
      <c r="AM119" s="117">
        <f t="shared" si="11"/>
        <v>-3080351683</v>
      </c>
      <c r="AN119" s="99"/>
      <c r="AO119" t="s">
        <v>25</v>
      </c>
      <c r="AQ119" t="s">
        <v>25</v>
      </c>
    </row>
    <row r="120" spans="6:46">
      <c r="F120" s="96"/>
      <c r="G120" s="213" t="s">
        <v>939</v>
      </c>
      <c r="H120" s="213" t="s">
        <v>4525</v>
      </c>
      <c r="I120" s="213" t="s">
        <v>935</v>
      </c>
      <c r="J120" s="213" t="s">
        <v>4741</v>
      </c>
      <c r="K120" s="5" t="s">
        <v>4521</v>
      </c>
      <c r="L120" s="169">
        <v>1100000</v>
      </c>
      <c r="M120" s="169">
        <v>5137000</v>
      </c>
      <c r="N120" s="168">
        <f t="shared" si="33"/>
        <v>367</v>
      </c>
      <c r="Q120" s="169"/>
      <c r="R120" s="168"/>
      <c r="S120" s="113"/>
      <c r="T120" s="113"/>
      <c r="U120" s="168" t="s">
        <v>25</v>
      </c>
      <c r="V120" s="213" t="e">
        <f>U120*(1+$R$125+$Q$15*S120/36500)</f>
        <v>#VALUE!</v>
      </c>
      <c r="W120" s="32" t="e">
        <f t="shared" si="31"/>
        <v>#VALUE!</v>
      </c>
      <c r="X120" s="32" t="e">
        <f t="shared" si="32"/>
        <v>#VALUE!</v>
      </c>
      <c r="AH120" s="99">
        <v>100</v>
      </c>
      <c r="AI120" s="113" t="s">
        <v>3688</v>
      </c>
      <c r="AJ120" s="113">
        <v>15792549</v>
      </c>
      <c r="AK120" s="99">
        <v>3</v>
      </c>
      <c r="AL120" s="99">
        <f t="shared" si="28"/>
        <v>378</v>
      </c>
      <c r="AM120" s="117">
        <f t="shared" si="11"/>
        <v>5969583522</v>
      </c>
      <c r="AN120" s="99"/>
      <c r="AO120" t="s">
        <v>25</v>
      </c>
      <c r="AP120" t="s">
        <v>25</v>
      </c>
    </row>
    <row r="121" spans="6:46">
      <c r="F121" s="96"/>
      <c r="G121" s="1">
        <f>P49</f>
        <v>400.9</v>
      </c>
      <c r="H121" s="213" t="s">
        <v>4234</v>
      </c>
      <c r="I121" s="213">
        <v>164168</v>
      </c>
      <c r="J121" s="1">
        <f>I121*G121</f>
        <v>65814951.199999996</v>
      </c>
      <c r="K121" s="19" t="s">
        <v>4380</v>
      </c>
      <c r="L121" s="169">
        <v>1100000</v>
      </c>
      <c r="M121" s="169">
        <v>4300000</v>
      </c>
      <c r="N121" s="168">
        <f t="shared" si="33"/>
        <v>290.90909090909093</v>
      </c>
      <c r="P121" s="114"/>
      <c r="Q121" s="113">
        <f>SUM(N27:N30)-SUM(Q86:Q120)</f>
        <v>75309426.99999997</v>
      </c>
      <c r="R121" s="168"/>
      <c r="S121" s="168"/>
      <c r="T121" s="168"/>
      <c r="U121" s="168"/>
      <c r="V121" s="168"/>
      <c r="W121" s="32"/>
      <c r="X121" s="32"/>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1">
        <f>P45</f>
        <v>1027.0999999999999</v>
      </c>
      <c r="H122" s="213" t="s">
        <v>4398</v>
      </c>
      <c r="I122" s="213">
        <v>1205</v>
      </c>
      <c r="J122" s="1">
        <f t="shared" ref="J122:J123" si="36">I122*G122</f>
        <v>1237655.5</v>
      </c>
      <c r="K122" s="5" t="s">
        <v>4398</v>
      </c>
      <c r="L122" s="169">
        <v>1100000</v>
      </c>
      <c r="M122" s="169">
        <v>3191000</v>
      </c>
      <c r="N122" s="168">
        <f t="shared" si="33"/>
        <v>190.09090909090909</v>
      </c>
      <c r="R122" s="115"/>
      <c r="S122" s="115"/>
      <c r="T122" s="115" t="s">
        <v>25</v>
      </c>
      <c r="U122" s="115" t="s">
        <v>25</v>
      </c>
      <c r="V122" s="115" t="s">
        <v>25</v>
      </c>
      <c r="W122" s="194" t="s">
        <v>25</v>
      </c>
      <c r="X122" s="194"/>
      <c r="Y122" t="s">
        <v>25</v>
      </c>
      <c r="AH122" s="121">
        <v>102</v>
      </c>
      <c r="AI122" s="79" t="s">
        <v>4605</v>
      </c>
      <c r="AJ122" s="79">
        <v>13071612</v>
      </c>
      <c r="AK122" s="121">
        <v>1</v>
      </c>
      <c r="AL122" s="121">
        <f t="shared" si="34"/>
        <v>375</v>
      </c>
      <c r="AM122" s="79">
        <f t="shared" si="35"/>
        <v>4901854500</v>
      </c>
      <c r="AN122" s="205" t="s">
        <v>4606</v>
      </c>
    </row>
    <row r="123" spans="6:46">
      <c r="F123" s="96"/>
      <c r="G123" s="1">
        <f>P48</f>
        <v>7028.1</v>
      </c>
      <c r="H123" s="213" t="s">
        <v>4384</v>
      </c>
      <c r="I123" s="213">
        <v>2299</v>
      </c>
      <c r="J123" s="1">
        <f t="shared" si="36"/>
        <v>16157601.9</v>
      </c>
      <c r="K123" s="5" t="s">
        <v>4522</v>
      </c>
      <c r="L123" s="169">
        <v>1100000</v>
      </c>
      <c r="M123" s="169">
        <v>5623000</v>
      </c>
      <c r="N123" s="168">
        <f t="shared" si="33"/>
        <v>411.18181818181819</v>
      </c>
      <c r="Q123" s="99" t="s">
        <v>947</v>
      </c>
      <c r="R123" s="99">
        <v>1.03E-2</v>
      </c>
      <c r="S123" s="26" t="s">
        <v>25</v>
      </c>
      <c r="U123" s="96" t="s">
        <v>25</v>
      </c>
      <c r="V123" s="115" t="s">
        <v>25</v>
      </c>
      <c r="W123" s="194" t="s">
        <v>25</v>
      </c>
      <c r="X123" s="194"/>
      <c r="Y123" t="s">
        <v>25</v>
      </c>
      <c r="AH123" s="89">
        <v>103</v>
      </c>
      <c r="AI123" s="90" t="s">
        <v>4609</v>
      </c>
      <c r="AJ123" s="90">
        <v>16727037</v>
      </c>
      <c r="AK123" s="89">
        <v>0</v>
      </c>
      <c r="AL123" s="89">
        <f t="shared" si="34"/>
        <v>374</v>
      </c>
      <c r="AM123" s="90">
        <f t="shared" si="35"/>
        <v>6255911838</v>
      </c>
      <c r="AN123" s="89" t="s">
        <v>4616</v>
      </c>
    </row>
    <row r="124" spans="6:46">
      <c r="F124" s="96"/>
      <c r="G124" s="1"/>
      <c r="H124" s="213" t="s">
        <v>25</v>
      </c>
      <c r="I124" s="213"/>
      <c r="J124" s="1"/>
      <c r="K124" s="19" t="s">
        <v>4384</v>
      </c>
      <c r="L124" s="169">
        <v>1100000</v>
      </c>
      <c r="M124" s="169">
        <v>7728000</v>
      </c>
      <c r="N124" s="168">
        <f t="shared" si="33"/>
        <v>602.5454545454545</v>
      </c>
      <c r="Q124" s="99" t="s">
        <v>61</v>
      </c>
      <c r="R124" s="99">
        <v>4.8999999999999998E-3</v>
      </c>
      <c r="T124" s="114"/>
      <c r="U124" s="96" t="s">
        <v>25</v>
      </c>
      <c r="V124" t="s">
        <v>25</v>
      </c>
      <c r="W124" s="194" t="s">
        <v>25</v>
      </c>
      <c r="X124" s="194"/>
      <c r="Y124" s="122" t="s">
        <v>25</v>
      </c>
      <c r="AH124" s="99">
        <v>104</v>
      </c>
      <c r="AI124" s="113" t="s">
        <v>4609</v>
      </c>
      <c r="AJ124" s="113">
        <v>12000000</v>
      </c>
      <c r="AK124" s="99">
        <v>1</v>
      </c>
      <c r="AL124" s="99">
        <f t="shared" si="34"/>
        <v>374</v>
      </c>
      <c r="AM124" s="117">
        <f t="shared" si="35"/>
        <v>4488000000</v>
      </c>
      <c r="AN124" s="99" t="s">
        <v>4617</v>
      </c>
    </row>
    <row r="125" spans="6:46">
      <c r="F125" s="96"/>
      <c r="G125" s="213"/>
      <c r="H125" s="213"/>
      <c r="I125" s="113">
        <f>J125-J119</f>
        <v>43287793.599999994</v>
      </c>
      <c r="J125" s="1">
        <f>SUM(J121:J124)</f>
        <v>83210208.599999994</v>
      </c>
      <c r="K125" s="5" t="s">
        <v>4524</v>
      </c>
      <c r="L125" s="169">
        <v>1100000</v>
      </c>
      <c r="M125" s="169">
        <v>2904000</v>
      </c>
      <c r="N125" s="168">
        <f t="shared" si="33"/>
        <v>164</v>
      </c>
      <c r="Q125" s="99" t="s">
        <v>6</v>
      </c>
      <c r="R125" s="99">
        <f>R123+R124</f>
        <v>1.52E-2</v>
      </c>
      <c r="T125" t="s">
        <v>25</v>
      </c>
      <c r="U125" s="96" t="s">
        <v>25</v>
      </c>
      <c r="V125" t="s">
        <v>25</v>
      </c>
      <c r="W125" s="194"/>
      <c r="X125" s="194"/>
      <c r="AH125" s="89">
        <v>105</v>
      </c>
      <c r="AI125" s="90" t="s">
        <v>4536</v>
      </c>
      <c r="AJ125" s="90">
        <v>88697667</v>
      </c>
      <c r="AK125" s="89">
        <v>1</v>
      </c>
      <c r="AL125" s="89">
        <f t="shared" si="34"/>
        <v>373</v>
      </c>
      <c r="AM125" s="90">
        <f t="shared" si="35"/>
        <v>33084229791</v>
      </c>
      <c r="AN125" s="89" t="s">
        <v>4618</v>
      </c>
      <c r="AP125" t="s">
        <v>25</v>
      </c>
    </row>
    <row r="126" spans="6:46">
      <c r="G126" s="213"/>
      <c r="H126" s="213"/>
      <c r="I126" s="213" t="s">
        <v>915</v>
      </c>
      <c r="J126" s="213" t="s">
        <v>6</v>
      </c>
      <c r="K126" s="263" t="s">
        <v>1083</v>
      </c>
      <c r="L126" s="169">
        <v>1100000</v>
      </c>
      <c r="M126" s="169">
        <v>3400000</v>
      </c>
      <c r="N126" s="168">
        <f t="shared" si="33"/>
        <v>209.09090909090909</v>
      </c>
      <c r="P126" s="114"/>
      <c r="W126" s="194"/>
      <c r="X126" s="194"/>
      <c r="Y126" t="s">
        <v>25</v>
      </c>
      <c r="AH126" s="99">
        <v>106</v>
      </c>
      <c r="AI126" s="113" t="s">
        <v>4539</v>
      </c>
      <c r="AJ126" s="113">
        <v>101000</v>
      </c>
      <c r="AK126" s="99">
        <v>0</v>
      </c>
      <c r="AL126" s="99">
        <f>AL127+AK126</f>
        <v>372</v>
      </c>
      <c r="AM126" s="117">
        <f t="shared" si="35"/>
        <v>37572000</v>
      </c>
      <c r="AN126" s="99"/>
      <c r="AQ126" t="s">
        <v>25</v>
      </c>
    </row>
    <row r="127" spans="6:46" ht="30">
      <c r="G127" s="41"/>
      <c r="H127" s="41"/>
      <c r="I127" s="41"/>
      <c r="J127" s="41"/>
      <c r="K127" s="242" t="s">
        <v>4553</v>
      </c>
      <c r="Q127" s="73" t="s">
        <v>4286</v>
      </c>
      <c r="R127" s="112"/>
      <c r="S127" s="112"/>
      <c r="T127" s="112"/>
      <c r="U127" s="168" t="s">
        <v>4353</v>
      </c>
      <c r="V127" s="36" t="s">
        <v>4355</v>
      </c>
      <c r="W127" s="32"/>
      <c r="X127" s="32"/>
      <c r="AH127" s="149">
        <v>107</v>
      </c>
      <c r="AI127" s="188" t="s">
        <v>4615</v>
      </c>
      <c r="AJ127" s="188">
        <v>-48200</v>
      </c>
      <c r="AK127" s="149">
        <v>0</v>
      </c>
      <c r="AL127" s="149">
        <f t="shared" ref="AL127:AL177" si="37">AL128+AK127</f>
        <v>372</v>
      </c>
      <c r="AM127" s="188">
        <f t="shared" si="35"/>
        <v>-17930400</v>
      </c>
      <c r="AN127" s="149" t="s">
        <v>4623</v>
      </c>
    </row>
    <row r="128" spans="6:46">
      <c r="G128" s="213"/>
      <c r="H128" s="213" t="s">
        <v>4272</v>
      </c>
      <c r="I128" s="213" t="s">
        <v>5460</v>
      </c>
      <c r="J128" s="1">
        <v>16319143</v>
      </c>
      <c r="K128" s="242" t="s">
        <v>4554</v>
      </c>
      <c r="Q128" s="112" t="s">
        <v>267</v>
      </c>
      <c r="R128" s="112" t="s">
        <v>180</v>
      </c>
      <c r="S128" s="112" t="s">
        <v>183</v>
      </c>
      <c r="T128" s="112" t="s">
        <v>8</v>
      </c>
      <c r="U128" s="168"/>
      <c r="V128" s="99"/>
      <c r="W128" s="32">
        <v>2</v>
      </c>
      <c r="X128" s="32">
        <v>4</v>
      </c>
      <c r="AH128" s="89">
        <v>108</v>
      </c>
      <c r="AI128" s="90" t="s">
        <v>4615</v>
      </c>
      <c r="AJ128" s="90">
        <v>39327293</v>
      </c>
      <c r="AK128" s="89">
        <v>4</v>
      </c>
      <c r="AL128" s="149">
        <f t="shared" si="37"/>
        <v>372</v>
      </c>
      <c r="AM128" s="188">
        <f t="shared" si="35"/>
        <v>14629752996</v>
      </c>
      <c r="AN128" s="89" t="s">
        <v>4624</v>
      </c>
    </row>
    <row r="129" spans="7:43">
      <c r="G129" s="1">
        <f>P49</f>
        <v>400.9</v>
      </c>
      <c r="H129" s="213" t="s">
        <v>4234</v>
      </c>
      <c r="I129" s="213">
        <v>50896</v>
      </c>
      <c r="J129" s="1">
        <f>G129*I129</f>
        <v>20404206.399999999</v>
      </c>
      <c r="K129" s="242" t="s">
        <v>4555</v>
      </c>
      <c r="Q129" s="35">
        <v>184971545</v>
      </c>
      <c r="R129" s="5" t="s">
        <v>4167</v>
      </c>
      <c r="S129" s="5">
        <v>493</v>
      </c>
      <c r="T129" s="5" t="s">
        <v>4336</v>
      </c>
      <c r="U129" s="168">
        <v>192</v>
      </c>
      <c r="V129" s="99">
        <f t="shared" ref="V129:V160" si="38">U129*(1+$R$125+$Q$15*S129/36500)</f>
        <v>267.53122191780824</v>
      </c>
      <c r="W129" s="32">
        <f t="shared" ref="W129:W145" si="39">V129*(1+$W$19/100)</f>
        <v>272.88184635616443</v>
      </c>
      <c r="X129" s="32">
        <f t="shared" ref="X129:X145" si="40">V129*(1+$X$19/100)</f>
        <v>278.23247079452057</v>
      </c>
      <c r="Y129" t="s">
        <v>25</v>
      </c>
      <c r="AH129" s="89">
        <v>109</v>
      </c>
      <c r="AI129" s="90" t="s">
        <v>4638</v>
      </c>
      <c r="AJ129" s="90">
        <v>8749050</v>
      </c>
      <c r="AK129" s="89">
        <v>1</v>
      </c>
      <c r="AL129" s="89">
        <f t="shared" si="37"/>
        <v>368</v>
      </c>
      <c r="AM129" s="90">
        <f t="shared" si="35"/>
        <v>3219650400</v>
      </c>
      <c r="AN129" s="89" t="s">
        <v>4639</v>
      </c>
    </row>
    <row r="130" spans="7:43">
      <c r="G130" s="1">
        <f>P45</f>
        <v>1027.0999999999999</v>
      </c>
      <c r="H130" s="213" t="s">
        <v>4398</v>
      </c>
      <c r="I130" s="213">
        <v>2304</v>
      </c>
      <c r="J130" s="1">
        <f t="shared" ref="J130:J131" si="41">G130*I130</f>
        <v>2366438.3999999999</v>
      </c>
      <c r="Q130" s="35">
        <v>9560464</v>
      </c>
      <c r="R130" s="5" t="s">
        <v>4290</v>
      </c>
      <c r="S130" s="5">
        <f>S129-31</f>
        <v>462</v>
      </c>
      <c r="T130" s="5" t="s">
        <v>4303</v>
      </c>
      <c r="U130" s="168">
        <v>214.57</v>
      </c>
      <c r="V130" s="99">
        <f t="shared" si="38"/>
        <v>293.87742345205481</v>
      </c>
      <c r="W130" s="32">
        <f t="shared" si="39"/>
        <v>299.75497192109589</v>
      </c>
      <c r="X130" s="32">
        <f t="shared" si="40"/>
        <v>305.63252039013702</v>
      </c>
      <c r="Z130" t="s">
        <v>25</v>
      </c>
      <c r="AH130" s="99">
        <v>110</v>
      </c>
      <c r="AI130" s="113" t="s">
        <v>4641</v>
      </c>
      <c r="AJ130" s="113">
        <v>60000</v>
      </c>
      <c r="AK130" s="99">
        <v>1</v>
      </c>
      <c r="AL130" s="99">
        <f t="shared" si="37"/>
        <v>367</v>
      </c>
      <c r="AM130" s="117">
        <f t="shared" si="35"/>
        <v>22020000</v>
      </c>
      <c r="AN130" s="99" t="s">
        <v>4642</v>
      </c>
    </row>
    <row r="131" spans="7:43">
      <c r="G131" s="1">
        <f>P43</f>
        <v>6432.5</v>
      </c>
      <c r="H131" s="213" t="s">
        <v>4380</v>
      </c>
      <c r="I131" s="213">
        <v>715</v>
      </c>
      <c r="J131" s="1">
        <f t="shared" si="41"/>
        <v>4599237.5</v>
      </c>
      <c r="Q131" s="35">
        <v>2000000</v>
      </c>
      <c r="R131" s="5" t="s">
        <v>4333</v>
      </c>
      <c r="S131" s="5">
        <f>S130-11</f>
        <v>451</v>
      </c>
      <c r="T131" s="5" t="s">
        <v>4335</v>
      </c>
      <c r="U131" s="168">
        <v>206.8</v>
      </c>
      <c r="V131" s="99">
        <f t="shared" si="38"/>
        <v>281.49049424657539</v>
      </c>
      <c r="W131" s="32">
        <f t="shared" si="39"/>
        <v>287.12030413150688</v>
      </c>
      <c r="X131" s="32">
        <f t="shared" si="40"/>
        <v>292.75011401643843</v>
      </c>
      <c r="Y131" t="s">
        <v>25</v>
      </c>
      <c r="AH131" s="20">
        <v>111</v>
      </c>
      <c r="AI131" s="117" t="s">
        <v>4650</v>
      </c>
      <c r="AJ131" s="117">
        <v>4750000</v>
      </c>
      <c r="AK131" s="20">
        <v>0</v>
      </c>
      <c r="AL131" s="99">
        <f t="shared" si="37"/>
        <v>366</v>
      </c>
      <c r="AM131" s="117">
        <f t="shared" si="35"/>
        <v>1738500000</v>
      </c>
      <c r="AN131" s="20"/>
      <c r="AQ131" t="s">
        <v>25</v>
      </c>
    </row>
    <row r="132" spans="7:43">
      <c r="G132" s="213"/>
      <c r="H132" s="213"/>
      <c r="I132" s="213" t="s">
        <v>25</v>
      </c>
      <c r="J132" s="213" t="s">
        <v>25</v>
      </c>
      <c r="Q132" s="35">
        <v>1429825</v>
      </c>
      <c r="R132" s="5" t="s">
        <v>4362</v>
      </c>
      <c r="S132" s="5">
        <f>S131-7</f>
        <v>444</v>
      </c>
      <c r="T132" s="5" t="s">
        <v>4371</v>
      </c>
      <c r="U132" s="168">
        <v>203.9</v>
      </c>
      <c r="V132" s="99">
        <f t="shared" si="38"/>
        <v>276.44817863013702</v>
      </c>
      <c r="W132" s="32">
        <f t="shared" si="39"/>
        <v>281.97714220273974</v>
      </c>
      <c r="X132" s="32">
        <f t="shared" si="40"/>
        <v>287.50610577534252</v>
      </c>
      <c r="Y132" t="s">
        <v>25</v>
      </c>
      <c r="AH132" s="89">
        <v>112</v>
      </c>
      <c r="AI132" s="90" t="s">
        <v>4650</v>
      </c>
      <c r="AJ132" s="90">
        <v>13101160</v>
      </c>
      <c r="AK132" s="89">
        <v>1</v>
      </c>
      <c r="AL132" s="89">
        <f t="shared" si="37"/>
        <v>366</v>
      </c>
      <c r="AM132" s="90">
        <f t="shared" si="35"/>
        <v>4795024560</v>
      </c>
      <c r="AN132" s="89" t="s">
        <v>4653</v>
      </c>
    </row>
    <row r="133" spans="7:43">
      <c r="G133" s="213"/>
      <c r="H133" s="213"/>
      <c r="I133" s="113">
        <f>J133-J128</f>
        <v>11050739.299999997</v>
      </c>
      <c r="J133" s="1">
        <f>SUM(J129:J132)</f>
        <v>27369882.299999997</v>
      </c>
      <c r="Q133" s="35">
        <v>1420747</v>
      </c>
      <c r="R133" s="5" t="s">
        <v>4362</v>
      </c>
      <c r="S133" s="5">
        <f>S132</f>
        <v>444</v>
      </c>
      <c r="T133" s="5" t="s">
        <v>4373</v>
      </c>
      <c r="U133" s="168">
        <v>203.1</v>
      </c>
      <c r="V133" s="99">
        <f t="shared" si="38"/>
        <v>275.36353643835616</v>
      </c>
      <c r="W133" s="32">
        <f t="shared" si="39"/>
        <v>280.8708071671233</v>
      </c>
      <c r="X133" s="32">
        <f t="shared" si="40"/>
        <v>286.37807789589044</v>
      </c>
      <c r="AH133" s="20">
        <v>113</v>
      </c>
      <c r="AI133" s="117" t="s">
        <v>4652</v>
      </c>
      <c r="AJ133" s="117">
        <v>-980000</v>
      </c>
      <c r="AK133" s="20">
        <v>0</v>
      </c>
      <c r="AL133" s="99">
        <f t="shared" si="37"/>
        <v>365</v>
      </c>
      <c r="AM133" s="117">
        <f t="shared" si="35"/>
        <v>-357700000</v>
      </c>
      <c r="AN133" s="20"/>
    </row>
    <row r="134" spans="7:43">
      <c r="G134" s="213"/>
      <c r="H134" s="213"/>
      <c r="I134" s="213" t="s">
        <v>915</v>
      </c>
      <c r="J134" s="213" t="s">
        <v>6</v>
      </c>
      <c r="K134" t="s">
        <v>25</v>
      </c>
      <c r="Q134" s="35">
        <v>2010885</v>
      </c>
      <c r="R134" s="5" t="s">
        <v>4382</v>
      </c>
      <c r="S134" s="5">
        <f>S133-3</f>
        <v>441</v>
      </c>
      <c r="T134" s="5" t="s">
        <v>4387</v>
      </c>
      <c r="U134" s="168">
        <v>202.1</v>
      </c>
      <c r="V134" s="99">
        <f t="shared" si="38"/>
        <v>273.54262684931507</v>
      </c>
      <c r="W134" s="32">
        <f t="shared" si="39"/>
        <v>279.01347938630136</v>
      </c>
      <c r="X134" s="32">
        <f t="shared" si="40"/>
        <v>284.4843319232877</v>
      </c>
      <c r="Y134" t="s">
        <v>25</v>
      </c>
      <c r="AH134" s="89">
        <v>114</v>
      </c>
      <c r="AI134" s="90" t="s">
        <v>4652</v>
      </c>
      <c r="AJ134" s="90">
        <v>13301790</v>
      </c>
      <c r="AK134" s="89">
        <v>0</v>
      </c>
      <c r="AL134" s="89">
        <f t="shared" si="37"/>
        <v>365</v>
      </c>
      <c r="AM134" s="90">
        <f t="shared" si="35"/>
        <v>4855153350</v>
      </c>
      <c r="AN134" s="89" t="s">
        <v>4653</v>
      </c>
      <c r="AQ134" t="s">
        <v>25</v>
      </c>
    </row>
    <row r="135" spans="7:43">
      <c r="G135" s="41"/>
      <c r="H135" s="41"/>
      <c r="I135" s="41"/>
      <c r="J135" s="41"/>
      <c r="Q135" s="35">
        <v>444</v>
      </c>
      <c r="R135" s="5" t="s">
        <v>4392</v>
      </c>
      <c r="S135" s="5">
        <f>S134-3</f>
        <v>438</v>
      </c>
      <c r="T135" s="5" t="s">
        <v>4593</v>
      </c>
      <c r="U135" s="168">
        <v>441.8</v>
      </c>
      <c r="V135" s="99">
        <f t="shared" si="38"/>
        <v>596.96016000000009</v>
      </c>
      <c r="W135" s="32">
        <f t="shared" si="39"/>
        <v>608.89936320000015</v>
      </c>
      <c r="X135" s="32">
        <f t="shared" si="40"/>
        <v>620.8385664000001</v>
      </c>
      <c r="AH135" s="20">
        <v>115</v>
      </c>
      <c r="AI135" s="117" t="s">
        <v>4652</v>
      </c>
      <c r="AJ135" s="117">
        <v>404000</v>
      </c>
      <c r="AK135" s="20">
        <v>5</v>
      </c>
      <c r="AL135" s="99">
        <f t="shared" si="37"/>
        <v>365</v>
      </c>
      <c r="AM135" s="117">
        <f t="shared" si="35"/>
        <v>147460000</v>
      </c>
      <c r="AN135" s="20" t="s">
        <v>4659</v>
      </c>
    </row>
    <row r="136" spans="7:43">
      <c r="G136" s="213"/>
      <c r="H136" s="213" t="s">
        <v>5331</v>
      </c>
      <c r="I136" s="213" t="s">
        <v>5211</v>
      </c>
      <c r="J136" s="1">
        <v>19795000</v>
      </c>
      <c r="K136" t="s">
        <v>25</v>
      </c>
      <c r="Q136" s="35">
        <v>1971103</v>
      </c>
      <c r="R136" s="5" t="s">
        <v>4403</v>
      </c>
      <c r="S136" s="5">
        <f>S135-1</f>
        <v>437</v>
      </c>
      <c r="T136" s="5" t="s">
        <v>4404</v>
      </c>
      <c r="U136" s="168">
        <v>196.2</v>
      </c>
      <c r="V136" s="99">
        <f t="shared" si="38"/>
        <v>264.95493041095892</v>
      </c>
      <c r="W136" s="32">
        <f t="shared" si="39"/>
        <v>270.25402901917812</v>
      </c>
      <c r="X136" s="32">
        <f t="shared" si="40"/>
        <v>275.55312762739732</v>
      </c>
      <c r="Y136" t="s">
        <v>25</v>
      </c>
      <c r="AH136" s="89">
        <v>116</v>
      </c>
      <c r="AI136" s="90" t="s">
        <v>4672</v>
      </c>
      <c r="AJ136" s="90">
        <v>4291628</v>
      </c>
      <c r="AK136" s="89">
        <v>2</v>
      </c>
      <c r="AL136" s="89">
        <f t="shared" si="37"/>
        <v>360</v>
      </c>
      <c r="AM136" s="90">
        <f t="shared" si="35"/>
        <v>1544986080</v>
      </c>
      <c r="AN136" s="89" t="s">
        <v>4673</v>
      </c>
    </row>
    <row r="137" spans="7:43">
      <c r="G137" s="1">
        <f>P49</f>
        <v>400.9</v>
      </c>
      <c r="H137" s="213" t="s">
        <v>4234</v>
      </c>
      <c r="I137" s="213">
        <v>46582</v>
      </c>
      <c r="J137" s="1">
        <f>G137*I137</f>
        <v>18674723.800000001</v>
      </c>
      <c r="O137" s="96"/>
      <c r="Q137" s="35">
        <v>1049856</v>
      </c>
      <c r="R137" s="5" t="s">
        <v>4423</v>
      </c>
      <c r="S137" s="5">
        <f>S136-6</f>
        <v>431</v>
      </c>
      <c r="T137" s="5" t="s">
        <v>4461</v>
      </c>
      <c r="U137" s="168">
        <v>184.5</v>
      </c>
      <c r="V137" s="99">
        <f t="shared" si="38"/>
        <v>248.30566027397262</v>
      </c>
      <c r="W137" s="32">
        <f t="shared" si="39"/>
        <v>253.27177347945207</v>
      </c>
      <c r="X137" s="32">
        <f t="shared" si="40"/>
        <v>258.23788668493154</v>
      </c>
      <c r="Z137" t="s">
        <v>25</v>
      </c>
      <c r="AH137" s="20">
        <v>117</v>
      </c>
      <c r="AI137" s="117" t="s">
        <v>4675</v>
      </c>
      <c r="AJ137" s="117">
        <v>1000</v>
      </c>
      <c r="AK137" s="20">
        <v>5</v>
      </c>
      <c r="AL137" s="20">
        <f t="shared" si="37"/>
        <v>358</v>
      </c>
      <c r="AM137" s="117">
        <f t="shared" si="35"/>
        <v>358000</v>
      </c>
      <c r="AN137" s="20"/>
    </row>
    <row r="138" spans="7:43">
      <c r="G138" s="213"/>
      <c r="H138" s="213" t="s">
        <v>338</v>
      </c>
      <c r="I138" s="213"/>
      <c r="J138" s="1">
        <v>10000000</v>
      </c>
      <c r="Q138" s="35">
        <v>1783234</v>
      </c>
      <c r="R138" s="5" t="s">
        <v>4425</v>
      </c>
      <c r="S138" s="5">
        <f>S137-2</f>
        <v>429</v>
      </c>
      <c r="T138" s="5" t="s">
        <v>4426</v>
      </c>
      <c r="U138" s="168">
        <v>177.5</v>
      </c>
      <c r="V138" s="99">
        <f t="shared" si="38"/>
        <v>238.61252054794522</v>
      </c>
      <c r="W138" s="32">
        <f t="shared" si="39"/>
        <v>243.38477095890414</v>
      </c>
      <c r="X138" s="32">
        <f t="shared" si="40"/>
        <v>248.15702136986303</v>
      </c>
      <c r="Y138" t="s">
        <v>25</v>
      </c>
      <c r="AH138" s="121">
        <v>118</v>
      </c>
      <c r="AI138" s="79" t="s">
        <v>4683</v>
      </c>
      <c r="AJ138" s="79">
        <v>8739459</v>
      </c>
      <c r="AK138" s="121">
        <v>2</v>
      </c>
      <c r="AL138" s="121">
        <f t="shared" si="37"/>
        <v>353</v>
      </c>
      <c r="AM138" s="79">
        <f t="shared" si="35"/>
        <v>3085029027</v>
      </c>
      <c r="AN138" s="121" t="s">
        <v>4639</v>
      </c>
    </row>
    <row r="139" spans="7:43">
      <c r="G139" s="213"/>
      <c r="H139" s="213"/>
      <c r="I139" s="1">
        <f>J139-J136</f>
        <v>8879723.8000000007</v>
      </c>
      <c r="J139" s="1">
        <f>SUM(J137:J138)</f>
        <v>28674723.800000001</v>
      </c>
      <c r="Q139" s="35">
        <v>1662335</v>
      </c>
      <c r="R139" s="5" t="s">
        <v>4429</v>
      </c>
      <c r="S139" s="5">
        <f>S138-5</f>
        <v>424</v>
      </c>
      <c r="T139" s="218" t="s">
        <v>4576</v>
      </c>
      <c r="U139" s="168">
        <v>190.3</v>
      </c>
      <c r="V139" s="99">
        <f t="shared" si="38"/>
        <v>255.08959013698632</v>
      </c>
      <c r="W139" s="32">
        <f t="shared" si="39"/>
        <v>260.19138193972606</v>
      </c>
      <c r="X139" s="32">
        <f t="shared" si="40"/>
        <v>265.2931737424658</v>
      </c>
      <c r="AH139" s="121">
        <v>119</v>
      </c>
      <c r="AI139" s="79" t="s">
        <v>4684</v>
      </c>
      <c r="AJ139" s="79">
        <v>17595278</v>
      </c>
      <c r="AK139" s="121">
        <v>1</v>
      </c>
      <c r="AL139" s="121">
        <f t="shared" si="37"/>
        <v>351</v>
      </c>
      <c r="AM139" s="79">
        <f t="shared" si="35"/>
        <v>6175942578</v>
      </c>
      <c r="AN139" s="121" t="s">
        <v>4686</v>
      </c>
      <c r="AQ139" t="s">
        <v>25</v>
      </c>
    </row>
    <row r="140" spans="7:43">
      <c r="G140" s="213"/>
      <c r="H140" s="213"/>
      <c r="I140" s="213" t="s">
        <v>915</v>
      </c>
      <c r="J140" s="213" t="s">
        <v>6</v>
      </c>
      <c r="Q140" s="35">
        <v>2272487</v>
      </c>
      <c r="R140" s="5" t="s">
        <v>4586</v>
      </c>
      <c r="S140" s="5">
        <f>S139-42</f>
        <v>382</v>
      </c>
      <c r="T140" s="5" t="s">
        <v>4587</v>
      </c>
      <c r="U140" s="168">
        <v>174.9</v>
      </c>
      <c r="V140" s="99">
        <f t="shared" si="38"/>
        <v>228.81136767123289</v>
      </c>
      <c r="W140" s="32">
        <f t="shared" si="39"/>
        <v>233.38759502465754</v>
      </c>
      <c r="X140" s="32">
        <f t="shared" si="40"/>
        <v>237.9638223780822</v>
      </c>
      <c r="Z140" t="s">
        <v>25</v>
      </c>
      <c r="AH140" s="121">
        <v>120</v>
      </c>
      <c r="AI140" s="79" t="s">
        <v>4685</v>
      </c>
      <c r="AJ140" s="79">
        <v>13335309</v>
      </c>
      <c r="AK140" s="121">
        <v>13</v>
      </c>
      <c r="AL140" s="121">
        <f t="shared" si="37"/>
        <v>350</v>
      </c>
      <c r="AM140" s="79">
        <f t="shared" si="35"/>
        <v>4667358150</v>
      </c>
      <c r="AN140" s="121" t="s">
        <v>4653</v>
      </c>
    </row>
    <row r="141" spans="7:43">
      <c r="Q141" s="35">
        <v>3975257</v>
      </c>
      <c r="R141" s="5" t="s">
        <v>4591</v>
      </c>
      <c r="S141" s="5">
        <f>S140-1</f>
        <v>381</v>
      </c>
      <c r="T141" s="5" t="s">
        <v>4592</v>
      </c>
      <c r="U141" s="168">
        <v>173</v>
      </c>
      <c r="V141" s="99">
        <f t="shared" si="38"/>
        <v>226.19299726027398</v>
      </c>
      <c r="W141" s="32">
        <f t="shared" si="39"/>
        <v>230.71685720547947</v>
      </c>
      <c r="X141" s="32">
        <f t="shared" si="40"/>
        <v>235.24071715068496</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99"/>
      <c r="H142" s="99"/>
      <c r="I142" s="99" t="s">
        <v>5451</v>
      </c>
      <c r="J142" s="1">
        <v>20000000</v>
      </c>
      <c r="Q142" s="35">
        <v>1031662</v>
      </c>
      <c r="R142" s="5" t="s">
        <v>4225</v>
      </c>
      <c r="S142" s="5">
        <f>S141-1</f>
        <v>380</v>
      </c>
      <c r="T142" s="5" t="s">
        <v>4595</v>
      </c>
      <c r="U142" s="168">
        <v>171.2</v>
      </c>
      <c r="V142" s="99">
        <f t="shared" si="38"/>
        <v>223.70821260273974</v>
      </c>
      <c r="W142" s="32">
        <f t="shared" si="39"/>
        <v>228.18237685479454</v>
      </c>
      <c r="X142" s="32">
        <f t="shared" si="40"/>
        <v>232.65654110684935</v>
      </c>
      <c r="Y142" t="s">
        <v>25</v>
      </c>
      <c r="AH142" s="20">
        <v>122</v>
      </c>
      <c r="AI142" s="117" t="s">
        <v>972</v>
      </c>
      <c r="AJ142" s="117">
        <v>30000</v>
      </c>
      <c r="AK142" s="20">
        <v>3</v>
      </c>
      <c r="AL142" s="20">
        <f t="shared" si="37"/>
        <v>326</v>
      </c>
      <c r="AM142" s="117">
        <f t="shared" si="35"/>
        <v>9780000</v>
      </c>
      <c r="AN142" s="20"/>
    </row>
    <row r="143" spans="7:43">
      <c r="G143" s="99">
        <f>P49</f>
        <v>400.9</v>
      </c>
      <c r="H143" s="99" t="s">
        <v>4234</v>
      </c>
      <c r="I143" s="99">
        <v>28777</v>
      </c>
      <c r="J143" s="1">
        <f>G143*I143</f>
        <v>11536699.299999999</v>
      </c>
      <c r="Q143" s="35">
        <v>577500</v>
      </c>
      <c r="R143" s="5" t="s">
        <v>4225</v>
      </c>
      <c r="S143" s="5">
        <f>S142</f>
        <v>380</v>
      </c>
      <c r="T143" s="5" t="s">
        <v>4599</v>
      </c>
      <c r="U143" s="168">
        <v>175</v>
      </c>
      <c r="V143" s="99">
        <f t="shared" si="38"/>
        <v>228.67369863013701</v>
      </c>
      <c r="W143" s="32">
        <f t="shared" si="39"/>
        <v>233.24717260273977</v>
      </c>
      <c r="X143" s="32">
        <f t="shared" si="40"/>
        <v>237.82064657534249</v>
      </c>
      <c r="Y143" t="s">
        <v>25</v>
      </c>
      <c r="AH143" s="20">
        <v>123</v>
      </c>
      <c r="AI143" s="117" t="s">
        <v>4803</v>
      </c>
      <c r="AJ143" s="117">
        <v>600000</v>
      </c>
      <c r="AK143" s="20">
        <v>1</v>
      </c>
      <c r="AL143" s="20">
        <f t="shared" si="37"/>
        <v>323</v>
      </c>
      <c r="AM143" s="117">
        <f t="shared" si="35"/>
        <v>193800000</v>
      </c>
      <c r="AN143" s="20"/>
    </row>
    <row r="144" spans="7:43">
      <c r="G144" s="99">
        <f>P48</f>
        <v>7028.1</v>
      </c>
      <c r="H144" s="99" t="s">
        <v>4384</v>
      </c>
      <c r="I144" s="99">
        <v>1150</v>
      </c>
      <c r="J144" s="1">
        <f>G144*I144</f>
        <v>8082315</v>
      </c>
      <c r="P144" s="114" t="s">
        <v>25</v>
      </c>
      <c r="Q144" s="35">
        <v>12636487</v>
      </c>
      <c r="R144" s="5" t="s">
        <v>3688</v>
      </c>
      <c r="S144" s="5">
        <f>S143-2</f>
        <v>378</v>
      </c>
      <c r="T144" s="5" t="s">
        <v>4602</v>
      </c>
      <c r="U144" s="168">
        <v>172.1</v>
      </c>
      <c r="V144" s="99">
        <f t="shared" si="38"/>
        <v>224.62020493150686</v>
      </c>
      <c r="W144" s="32">
        <f t="shared" si="39"/>
        <v>229.11260903013701</v>
      </c>
      <c r="X144" s="32">
        <f t="shared" si="40"/>
        <v>233.60501312876715</v>
      </c>
      <c r="Y144" t="s">
        <v>25</v>
      </c>
      <c r="AH144" s="20">
        <v>124</v>
      </c>
      <c r="AI144" s="117" t="s">
        <v>4806</v>
      </c>
      <c r="AJ144" s="117">
        <v>30000</v>
      </c>
      <c r="AK144" s="20">
        <v>3</v>
      </c>
      <c r="AL144" s="20">
        <f t="shared" si="37"/>
        <v>322</v>
      </c>
      <c r="AM144" s="117">
        <f t="shared" si="35"/>
        <v>9660000</v>
      </c>
      <c r="AN144" s="20"/>
    </row>
    <row r="145" spans="7:44">
      <c r="G145" s="99">
        <f>P44</f>
        <v>77308.2</v>
      </c>
      <c r="H145" s="99" t="s">
        <v>5429</v>
      </c>
      <c r="I145" s="99">
        <v>52</v>
      </c>
      <c r="J145" s="1">
        <f>G145*I145</f>
        <v>4020026.4</v>
      </c>
      <c r="Q145" s="39">
        <v>11121445</v>
      </c>
      <c r="R145" s="5" t="s">
        <v>4605</v>
      </c>
      <c r="S145" s="5">
        <f>S144-3</f>
        <v>375</v>
      </c>
      <c r="T145" s="5" t="s">
        <v>4779</v>
      </c>
      <c r="U145" s="168">
        <v>171.8</v>
      </c>
      <c r="V145" s="99">
        <f t="shared" si="38"/>
        <v>223.83327780821921</v>
      </c>
      <c r="W145" s="32">
        <f t="shared" si="39"/>
        <v>228.3099433643836</v>
      </c>
      <c r="X145" s="32">
        <f t="shared" si="40"/>
        <v>232.78660892054799</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t="s">
        <v>5431</v>
      </c>
      <c r="I146" s="99">
        <v>0</v>
      </c>
      <c r="J146" s="1">
        <f>I146</f>
        <v>0</v>
      </c>
      <c r="Q146" s="35">
        <v>36102007</v>
      </c>
      <c r="R146" s="5" t="s">
        <v>4615</v>
      </c>
      <c r="S146" s="5">
        <f>S145-3</f>
        <v>372</v>
      </c>
      <c r="T146" s="5" t="s">
        <v>5465</v>
      </c>
      <c r="U146" s="168">
        <v>498.9</v>
      </c>
      <c r="V146" s="99">
        <f t="shared" si="38"/>
        <v>648.85430465753427</v>
      </c>
      <c r="W146" s="32">
        <f t="shared" ref="W146:W164" si="43">V146*(1+$W$19/100)</f>
        <v>661.83139075068493</v>
      </c>
      <c r="X146" s="32">
        <f t="shared" ref="X146:X164" si="44">V146*(1+$X$19/100)</f>
        <v>674.80847684383571</v>
      </c>
      <c r="AH146" s="23">
        <v>126</v>
      </c>
      <c r="AI146" s="35" t="s">
        <v>4817</v>
      </c>
      <c r="AJ146" s="35">
        <v>-31412200</v>
      </c>
      <c r="AK146" s="23">
        <v>1</v>
      </c>
      <c r="AL146" s="20">
        <f t="shared" si="37"/>
        <v>318</v>
      </c>
      <c r="AM146" s="35">
        <f t="shared" si="42"/>
        <v>-9989079600</v>
      </c>
      <c r="AN146" s="23" t="s">
        <v>4805</v>
      </c>
    </row>
    <row r="147" spans="7:44">
      <c r="G147" s="99"/>
      <c r="H147" s="99"/>
      <c r="I147" s="278">
        <f>J143+J144+J145+J146-J142</f>
        <v>3639040.6999999955</v>
      </c>
      <c r="J147" s="1"/>
      <c r="Q147" s="169">
        <v>6150141</v>
      </c>
      <c r="R147" s="213" t="s">
        <v>4854</v>
      </c>
      <c r="S147" s="213">
        <f>S146-76</f>
        <v>296</v>
      </c>
      <c r="T147" s="213" t="s">
        <v>4860</v>
      </c>
      <c r="U147" s="213">
        <v>180.6</v>
      </c>
      <c r="V147" s="99">
        <f t="shared" si="38"/>
        <v>224.35368986301373</v>
      </c>
      <c r="W147" s="32">
        <f t="shared" si="43"/>
        <v>228.84076366027401</v>
      </c>
      <c r="X147" s="32">
        <f t="shared" si="44"/>
        <v>233.32783745753429</v>
      </c>
      <c r="Z147" s="96"/>
      <c r="AH147" s="20">
        <v>127</v>
      </c>
      <c r="AI147" s="117" t="s">
        <v>4826</v>
      </c>
      <c r="AJ147" s="117">
        <v>70000</v>
      </c>
      <c r="AK147" s="20">
        <v>9</v>
      </c>
      <c r="AL147" s="20">
        <f t="shared" si="37"/>
        <v>317</v>
      </c>
      <c r="AM147" s="117">
        <f t="shared" si="42"/>
        <v>22190000</v>
      </c>
      <c r="AN147" s="20"/>
    </row>
    <row r="148" spans="7:44">
      <c r="Q148" s="169">
        <v>1399908</v>
      </c>
      <c r="R148" s="213" t="s">
        <v>4922</v>
      </c>
      <c r="S148" s="213">
        <f>S147-20</f>
        <v>276</v>
      </c>
      <c r="T148" s="213" t="s">
        <v>4923</v>
      </c>
      <c r="U148" s="213">
        <v>194</v>
      </c>
      <c r="V148" s="99">
        <f t="shared" si="38"/>
        <v>238.02364931506852</v>
      </c>
      <c r="W148" s="32">
        <f t="shared" si="43"/>
        <v>242.78412230136991</v>
      </c>
      <c r="X148" s="32">
        <f t="shared" si="44"/>
        <v>247.54459528767129</v>
      </c>
      <c r="Z148" s="96"/>
      <c r="AH148" s="99">
        <v>128</v>
      </c>
      <c r="AI148" s="113" t="s">
        <v>4833</v>
      </c>
      <c r="AJ148" s="113">
        <v>20000</v>
      </c>
      <c r="AK148" s="99">
        <v>10</v>
      </c>
      <c r="AL148" s="20">
        <f t="shared" si="37"/>
        <v>308</v>
      </c>
      <c r="AM148" s="117">
        <f t="shared" ref="AM148:AM149" si="45">AJ148*AL148</f>
        <v>6160000</v>
      </c>
      <c r="AN148" s="20"/>
      <c r="AP148" t="s">
        <v>25</v>
      </c>
    </row>
    <row r="149" spans="7:44">
      <c r="Q149" s="169">
        <v>1204033</v>
      </c>
      <c r="R149" s="213" t="s">
        <v>4932</v>
      </c>
      <c r="S149" s="213">
        <f>S148-7</f>
        <v>269</v>
      </c>
      <c r="T149" s="213" t="s">
        <v>4935</v>
      </c>
      <c r="U149" s="213">
        <v>218.5</v>
      </c>
      <c r="V149" s="99">
        <f t="shared" si="38"/>
        <v>266.91002191780825</v>
      </c>
      <c r="W149" s="32">
        <f t="shared" si="43"/>
        <v>272.24822235616443</v>
      </c>
      <c r="X149" s="32">
        <f t="shared" si="44"/>
        <v>277.58642279452062</v>
      </c>
      <c r="Z149" s="96"/>
      <c r="AH149" s="99">
        <v>129</v>
      </c>
      <c r="AI149" s="113" t="s">
        <v>4853</v>
      </c>
      <c r="AJ149" s="113">
        <v>1000000</v>
      </c>
      <c r="AK149" s="99">
        <v>1</v>
      </c>
      <c r="AL149" s="20">
        <f t="shared" si="37"/>
        <v>298</v>
      </c>
      <c r="AM149" s="117">
        <f t="shared" si="45"/>
        <v>298000000</v>
      </c>
      <c r="AN149" s="20"/>
    </row>
    <row r="150" spans="7:44">
      <c r="I150">
        <f>39042-I143</f>
        <v>10265</v>
      </c>
      <c r="J150">
        <f>I150*G143</f>
        <v>4115238.4999999995</v>
      </c>
      <c r="Q150" s="169">
        <v>8382674</v>
      </c>
      <c r="R150" s="213" t="s">
        <v>4942</v>
      </c>
      <c r="S150" s="213">
        <f>S149-7</f>
        <v>262</v>
      </c>
      <c r="T150" s="213" t="s">
        <v>4948</v>
      </c>
      <c r="U150" s="213">
        <v>192</v>
      </c>
      <c r="V150" s="99">
        <f t="shared" si="38"/>
        <v>233.50776986301372</v>
      </c>
      <c r="W150" s="32">
        <f t="shared" si="43"/>
        <v>238.17792526027401</v>
      </c>
      <c r="X150" s="32">
        <f t="shared" si="44"/>
        <v>242.84808065753427</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190884649</v>
      </c>
      <c r="R151" s="213" t="s">
        <v>4961</v>
      </c>
      <c r="S151" s="213">
        <f>S150-9</f>
        <v>253</v>
      </c>
      <c r="T151" s="213" t="s">
        <v>4964</v>
      </c>
      <c r="U151" s="213">
        <v>193.6</v>
      </c>
      <c r="V151" s="99">
        <f t="shared" si="38"/>
        <v>234.11703232876715</v>
      </c>
      <c r="W151" s="32">
        <f t="shared" si="43"/>
        <v>238.79937297534249</v>
      </c>
      <c r="X151" s="32">
        <f t="shared" si="44"/>
        <v>243.48171362191783</v>
      </c>
      <c r="Z151" s="96"/>
      <c r="AA151" s="114"/>
      <c r="AC151" s="114"/>
      <c r="AH151" s="99">
        <v>131</v>
      </c>
      <c r="AI151" s="113" t="s">
        <v>4854</v>
      </c>
      <c r="AJ151" s="113">
        <v>-3500000</v>
      </c>
      <c r="AK151" s="99">
        <v>6</v>
      </c>
      <c r="AL151" s="20">
        <f t="shared" si="37"/>
        <v>297</v>
      </c>
      <c r="AM151" s="117">
        <f t="shared" si="46"/>
        <v>-1039500000</v>
      </c>
      <c r="AN151" s="20" t="s">
        <v>4856</v>
      </c>
    </row>
    <row r="152" spans="7:44">
      <c r="J152" t="s">
        <v>25</v>
      </c>
      <c r="Q152" s="169">
        <v>2099962</v>
      </c>
      <c r="R152" s="213" t="s">
        <v>4963</v>
      </c>
      <c r="S152" s="213">
        <f>S151-1</f>
        <v>252</v>
      </c>
      <c r="T152" s="213" t="s">
        <v>4967</v>
      </c>
      <c r="U152" s="213">
        <v>196.5</v>
      </c>
      <c r="V152" s="99">
        <f t="shared" si="38"/>
        <v>237.4732109589041</v>
      </c>
      <c r="W152" s="32">
        <f t="shared" si="43"/>
        <v>242.2226751780822</v>
      </c>
      <c r="X152" s="32">
        <f t="shared" si="44"/>
        <v>246.97213939726026</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Q153" s="169">
        <v>130756</v>
      </c>
      <c r="R153" s="213" t="s">
        <v>4968</v>
      </c>
      <c r="S153" s="213">
        <f>S152-1</f>
        <v>251</v>
      </c>
      <c r="T153" s="213" t="s">
        <v>4969</v>
      </c>
      <c r="U153" s="213">
        <v>197.8</v>
      </c>
      <c r="V153" s="99">
        <f t="shared" si="38"/>
        <v>238.89254356164386</v>
      </c>
      <c r="W153" s="32">
        <f t="shared" si="43"/>
        <v>243.67039443287675</v>
      </c>
      <c r="X153" s="32">
        <f t="shared" si="44"/>
        <v>248.44824530410963</v>
      </c>
      <c r="Y153" s="96" t="s">
        <v>25</v>
      </c>
      <c r="Z153" s="96"/>
      <c r="AH153" s="99">
        <v>133</v>
      </c>
      <c r="AI153" s="113" t="s">
        <v>4902</v>
      </c>
      <c r="AJ153" s="113">
        <v>1400000</v>
      </c>
      <c r="AK153" s="99">
        <v>4</v>
      </c>
      <c r="AL153" s="20">
        <f t="shared" si="37"/>
        <v>279</v>
      </c>
      <c r="AM153" s="117">
        <f t="shared" si="46"/>
        <v>390600000</v>
      </c>
      <c r="AN153" s="20"/>
    </row>
    <row r="154" spans="7:44">
      <c r="K154" t="s">
        <v>25</v>
      </c>
      <c r="Q154" s="169">
        <v>795874</v>
      </c>
      <c r="R154" s="213" t="s">
        <v>4980</v>
      </c>
      <c r="S154" s="213">
        <f>S153-6</f>
        <v>245</v>
      </c>
      <c r="T154" s="213" t="s">
        <v>4981</v>
      </c>
      <c r="U154" s="213">
        <v>198.1</v>
      </c>
      <c r="V154" s="99">
        <f t="shared" si="38"/>
        <v>238.34306520547949</v>
      </c>
      <c r="W154" s="32">
        <f t="shared" si="43"/>
        <v>243.10992650958909</v>
      </c>
      <c r="X154" s="32">
        <f t="shared" si="44"/>
        <v>247.87678781369868</v>
      </c>
      <c r="Y154" s="122" t="s">
        <v>25</v>
      </c>
      <c r="Z154" s="96"/>
      <c r="AH154" s="99">
        <v>134</v>
      </c>
      <c r="AI154" s="113" t="s">
        <v>4926</v>
      </c>
      <c r="AJ154" s="113">
        <v>1550000</v>
      </c>
      <c r="AK154" s="99">
        <v>2</v>
      </c>
      <c r="AL154" s="20">
        <f t="shared" si="37"/>
        <v>275</v>
      </c>
      <c r="AM154" s="117">
        <f t="shared" si="46"/>
        <v>426250000</v>
      </c>
      <c r="AN154" s="20"/>
    </row>
    <row r="155" spans="7:44">
      <c r="Q155" s="169">
        <v>400348</v>
      </c>
      <c r="R155" s="213" t="s">
        <v>4983</v>
      </c>
      <c r="S155" s="213">
        <f>S154-1</f>
        <v>244</v>
      </c>
      <c r="T155" s="213" t="s">
        <v>4985</v>
      </c>
      <c r="U155" s="213">
        <v>199.3</v>
      </c>
      <c r="V155" s="99">
        <f t="shared" si="38"/>
        <v>239.63395178082195</v>
      </c>
      <c r="W155" s="32">
        <f t="shared" si="43"/>
        <v>244.42663081643838</v>
      </c>
      <c r="X155" s="32">
        <f t="shared" si="44"/>
        <v>249.21930985205483</v>
      </c>
      <c r="Y155" s="96"/>
      <c r="Z155" s="96"/>
      <c r="AH155" s="99">
        <v>135</v>
      </c>
      <c r="AI155" s="113" t="s">
        <v>4874</v>
      </c>
      <c r="AJ155" s="113">
        <v>250000</v>
      </c>
      <c r="AK155" s="99">
        <v>6</v>
      </c>
      <c r="AL155" s="20">
        <f t="shared" si="37"/>
        <v>273</v>
      </c>
      <c r="AM155" s="117">
        <f t="shared" si="46"/>
        <v>68250000</v>
      </c>
      <c r="AN155" s="20"/>
    </row>
    <row r="156" spans="7:44">
      <c r="Q156" s="169">
        <v>5896463</v>
      </c>
      <c r="R156" s="213" t="s">
        <v>4994</v>
      </c>
      <c r="S156" s="213">
        <f>S155-4</f>
        <v>240</v>
      </c>
      <c r="T156" s="213" t="s">
        <v>4995</v>
      </c>
      <c r="U156" s="213">
        <v>197.4</v>
      </c>
      <c r="V156" s="99">
        <f t="shared" si="38"/>
        <v>236.74371287671238</v>
      </c>
      <c r="W156" s="32">
        <f t="shared" si="43"/>
        <v>241.47858713424662</v>
      </c>
      <c r="X156" s="32">
        <f t="shared" si="44"/>
        <v>246.2134613917809</v>
      </c>
      <c r="Y156" s="122" t="s">
        <v>25</v>
      </c>
      <c r="Z156" s="96"/>
      <c r="AH156" s="99">
        <v>136</v>
      </c>
      <c r="AI156" s="113" t="s">
        <v>4936</v>
      </c>
      <c r="AJ156" s="113">
        <v>-48527480</v>
      </c>
      <c r="AK156" s="99">
        <v>14</v>
      </c>
      <c r="AL156" s="20">
        <f t="shared" si="37"/>
        <v>267</v>
      </c>
      <c r="AM156" s="117">
        <f t="shared" si="46"/>
        <v>-12956837160</v>
      </c>
      <c r="AN156" s="20" t="s">
        <v>4938</v>
      </c>
    </row>
    <row r="157" spans="7:44">
      <c r="P157" s="114"/>
      <c r="Q157" s="169">
        <v>1499873</v>
      </c>
      <c r="R157" s="213" t="s">
        <v>5007</v>
      </c>
      <c r="S157" s="213">
        <f>S156-8</f>
        <v>232</v>
      </c>
      <c r="T157" s="213" t="s">
        <v>5009</v>
      </c>
      <c r="U157" s="213">
        <v>200.1</v>
      </c>
      <c r="V157" s="99">
        <f t="shared" si="38"/>
        <v>238.7538378082192</v>
      </c>
      <c r="W157" s="32">
        <f t="shared" si="43"/>
        <v>243.5289145643836</v>
      </c>
      <c r="X157" s="32">
        <f t="shared" si="44"/>
        <v>248.30399132054796</v>
      </c>
      <c r="Y157" s="96"/>
      <c r="Z157" s="96"/>
      <c r="AH157" s="99">
        <v>137</v>
      </c>
      <c r="AI157" s="113" t="s">
        <v>4963</v>
      </c>
      <c r="AJ157" s="113">
        <v>2100000</v>
      </c>
      <c r="AK157" s="99">
        <v>1</v>
      </c>
      <c r="AL157" s="20">
        <f t="shared" si="37"/>
        <v>253</v>
      </c>
      <c r="AM157" s="117">
        <f t="shared" si="46"/>
        <v>531300000</v>
      </c>
      <c r="AN157" s="20"/>
    </row>
    <row r="158" spans="7:44">
      <c r="P158" s="114"/>
      <c r="Q158" s="169">
        <v>25141103</v>
      </c>
      <c r="R158" s="213" t="s">
        <v>5031</v>
      </c>
      <c r="S158" s="213">
        <f>S157-7</f>
        <v>225</v>
      </c>
      <c r="T158" s="213" t="s">
        <v>5034</v>
      </c>
      <c r="U158" s="213">
        <v>211.3</v>
      </c>
      <c r="V158" s="99">
        <f t="shared" si="38"/>
        <v>250.98271890410965</v>
      </c>
      <c r="W158" s="32">
        <f t="shared" si="43"/>
        <v>256.00237328219185</v>
      </c>
      <c r="X158" s="32">
        <f t="shared" si="44"/>
        <v>261.02202766027403</v>
      </c>
      <c r="Y158" s="96"/>
      <c r="Z158" s="96"/>
      <c r="AH158" s="99">
        <v>138</v>
      </c>
      <c r="AI158" s="113" t="s">
        <v>4968</v>
      </c>
      <c r="AJ158" s="113">
        <v>100000</v>
      </c>
      <c r="AK158" s="99">
        <v>4</v>
      </c>
      <c r="AL158" s="20">
        <f>AL159+AK158</f>
        <v>252</v>
      </c>
      <c r="AM158" s="117">
        <f t="shared" si="46"/>
        <v>25200000</v>
      </c>
      <c r="AN158" s="20"/>
      <c r="AQ158" t="s">
        <v>25</v>
      </c>
    </row>
    <row r="159" spans="7:44">
      <c r="P159" s="114"/>
      <c r="Q159" s="169">
        <v>120581</v>
      </c>
      <c r="R159" s="213" t="s">
        <v>5035</v>
      </c>
      <c r="S159" s="213">
        <f>S158-1</f>
        <v>224</v>
      </c>
      <c r="T159" s="213" t="s">
        <v>5036</v>
      </c>
      <c r="U159" s="213">
        <v>210.2</v>
      </c>
      <c r="V159" s="99">
        <f t="shared" si="38"/>
        <v>249.51488657534247</v>
      </c>
      <c r="W159" s="32">
        <f t="shared" si="43"/>
        <v>254.50518430684932</v>
      </c>
      <c r="X159" s="32">
        <f t="shared" si="44"/>
        <v>259.49548203835616</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Q160" s="169">
        <v>500951</v>
      </c>
      <c r="R160" s="213" t="s">
        <v>5035</v>
      </c>
      <c r="S160" s="213">
        <f>S159</f>
        <v>224</v>
      </c>
      <c r="T160" s="213" t="s">
        <v>5040</v>
      </c>
      <c r="U160" s="213">
        <v>209.6</v>
      </c>
      <c r="V160" s="99">
        <f t="shared" si="38"/>
        <v>248.80266520547946</v>
      </c>
      <c r="W160" s="32">
        <f t="shared" si="43"/>
        <v>253.77871850958905</v>
      </c>
      <c r="X160" s="32">
        <f t="shared" si="44"/>
        <v>258.75477181369865</v>
      </c>
      <c r="Y160" s="96"/>
      <c r="AH160" s="99">
        <v>140</v>
      </c>
      <c r="AI160" s="113" t="s">
        <v>4974</v>
      </c>
      <c r="AJ160" s="113">
        <v>1100000</v>
      </c>
      <c r="AK160" s="99">
        <v>0</v>
      </c>
      <c r="AL160" s="20">
        <f t="shared" si="47"/>
        <v>248</v>
      </c>
      <c r="AM160" s="117">
        <f t="shared" si="48"/>
        <v>272800000</v>
      </c>
      <c r="AN160" s="20" t="s">
        <v>4992</v>
      </c>
      <c r="AQ160" t="s">
        <v>25</v>
      </c>
    </row>
    <row r="161" spans="15:43">
      <c r="Q161" s="169">
        <v>493081</v>
      </c>
      <c r="R161" s="213" t="s">
        <v>5043</v>
      </c>
      <c r="S161" s="213">
        <f>S160-1</f>
        <v>223</v>
      </c>
      <c r="T161" s="213" t="s">
        <v>5045</v>
      </c>
      <c r="U161" s="213">
        <v>205.1</v>
      </c>
      <c r="V161" s="99">
        <f t="shared" ref="V161:V192" si="49">U161*(1+$R$125+$Q$15*S161/36500)</f>
        <v>243.30366794520549</v>
      </c>
      <c r="W161" s="32">
        <f t="shared" si="43"/>
        <v>248.16974130410961</v>
      </c>
      <c r="X161" s="32">
        <f t="shared" si="44"/>
        <v>253.03581466301372</v>
      </c>
      <c r="Y161" s="96"/>
      <c r="AH161" s="99">
        <v>141</v>
      </c>
      <c r="AI161" s="113" t="s">
        <v>4974</v>
      </c>
      <c r="AJ161" s="113">
        <v>115000</v>
      </c>
      <c r="AK161" s="99"/>
      <c r="AL161" s="20">
        <f t="shared" si="47"/>
        <v>248</v>
      </c>
      <c r="AM161" s="117">
        <f t="shared" si="48"/>
        <v>28520000</v>
      </c>
      <c r="AN161" s="20"/>
      <c r="AQ161" t="s">
        <v>25</v>
      </c>
    </row>
    <row r="162" spans="15:43">
      <c r="Q162" s="169">
        <v>43287917</v>
      </c>
      <c r="R162" s="213" t="s">
        <v>5047</v>
      </c>
      <c r="S162" s="213">
        <f>S161-3</f>
        <v>220</v>
      </c>
      <c r="T162" s="213" t="s">
        <v>5070</v>
      </c>
      <c r="U162" s="213">
        <v>203.6</v>
      </c>
      <c r="V162" s="99">
        <f t="shared" si="49"/>
        <v>241.0557063013699</v>
      </c>
      <c r="W162" s="32">
        <f t="shared" si="43"/>
        <v>245.87682042739729</v>
      </c>
      <c r="X162" s="32">
        <f t="shared" si="44"/>
        <v>250.69793455342469</v>
      </c>
      <c r="Y162" s="96"/>
      <c r="AH162" s="99">
        <v>142</v>
      </c>
      <c r="AI162" s="113" t="s">
        <v>4983</v>
      </c>
      <c r="AJ162" s="113">
        <v>-1100000</v>
      </c>
      <c r="AK162" s="99"/>
      <c r="AL162" s="20">
        <f t="shared" si="47"/>
        <v>248</v>
      </c>
      <c r="AM162" s="117">
        <f t="shared" si="48"/>
        <v>-272800000</v>
      </c>
      <c r="AN162" s="20" t="s">
        <v>4993</v>
      </c>
      <c r="AQ162" t="s">
        <v>25</v>
      </c>
    </row>
    <row r="163" spans="15:43">
      <c r="P163" s="114"/>
      <c r="Q163" s="169">
        <v>3195995</v>
      </c>
      <c r="R163" s="213" t="s">
        <v>5074</v>
      </c>
      <c r="S163" s="213">
        <f>S162-11</f>
        <v>209</v>
      </c>
      <c r="T163" s="213" t="s">
        <v>5075</v>
      </c>
      <c r="U163" s="213">
        <v>228</v>
      </c>
      <c r="V163" s="99">
        <f t="shared" si="49"/>
        <v>268.02055890410958</v>
      </c>
      <c r="W163" s="32">
        <f t="shared" si="43"/>
        <v>273.38097008219177</v>
      </c>
      <c r="X163" s="32">
        <f t="shared" si="44"/>
        <v>278.74138126027395</v>
      </c>
      <c r="Y163" s="122" t="s">
        <v>25</v>
      </c>
      <c r="AH163" s="99">
        <v>143</v>
      </c>
      <c r="AI163" s="113" t="s">
        <v>4983</v>
      </c>
      <c r="AJ163" s="113">
        <v>900000</v>
      </c>
      <c r="AK163" s="99">
        <v>1</v>
      </c>
      <c r="AL163" s="20">
        <f t="shared" si="47"/>
        <v>248</v>
      </c>
      <c r="AM163" s="117">
        <f t="shared" si="48"/>
        <v>223200000</v>
      </c>
      <c r="AN163" s="20" t="s">
        <v>4992</v>
      </c>
    </row>
    <row r="164" spans="15:43">
      <c r="Q164" s="169">
        <v>5897690</v>
      </c>
      <c r="R164" s="213" t="s">
        <v>5084</v>
      </c>
      <c r="S164" s="213">
        <f>S163-10</f>
        <v>199</v>
      </c>
      <c r="T164" s="213" t="s">
        <v>5087</v>
      </c>
      <c r="U164" s="213">
        <v>236</v>
      </c>
      <c r="V164" s="99">
        <f t="shared" si="49"/>
        <v>275.61437808219182</v>
      </c>
      <c r="W164" s="32">
        <f t="shared" si="43"/>
        <v>281.12666564383568</v>
      </c>
      <c r="X164" s="32">
        <f t="shared" si="44"/>
        <v>286.63895320547948</v>
      </c>
      <c r="Y164" s="96"/>
      <c r="AH164" s="99">
        <v>144</v>
      </c>
      <c r="AI164" s="113" t="s">
        <v>4990</v>
      </c>
      <c r="AJ164" s="113">
        <v>2000000</v>
      </c>
      <c r="AK164" s="99">
        <v>0</v>
      </c>
      <c r="AL164" s="20">
        <f t="shared" si="47"/>
        <v>247</v>
      </c>
      <c r="AM164" s="117">
        <f t="shared" si="48"/>
        <v>494000000</v>
      </c>
      <c r="AN164" s="20"/>
    </row>
    <row r="165" spans="15:43">
      <c r="P165" s="114"/>
      <c r="Q165" s="169">
        <v>1203628</v>
      </c>
      <c r="R165" s="213" t="s">
        <v>5091</v>
      </c>
      <c r="S165" s="213">
        <f>S164-2</f>
        <v>197</v>
      </c>
      <c r="T165" s="213" t="s">
        <v>5092</v>
      </c>
      <c r="U165" s="213">
        <v>235.1</v>
      </c>
      <c r="V165" s="99">
        <f t="shared" si="49"/>
        <v>274.20260493150687</v>
      </c>
      <c r="W165" s="32">
        <f t="shared" ref="W165:W169" si="50">V165*(1+$W$19/100)</f>
        <v>279.68665703013698</v>
      </c>
      <c r="X165" s="32">
        <f t="shared" ref="X165:X169" si="51">V165*(1+$X$19/100)</f>
        <v>285.17070912876716</v>
      </c>
      <c r="Y165" s="96"/>
      <c r="AH165" s="99">
        <v>145</v>
      </c>
      <c r="AI165" s="113" t="s">
        <v>4990</v>
      </c>
      <c r="AJ165" s="113">
        <v>360000</v>
      </c>
      <c r="AK165" s="99">
        <v>1</v>
      </c>
      <c r="AL165" s="20">
        <f t="shared" si="47"/>
        <v>247</v>
      </c>
      <c r="AM165" s="117">
        <f t="shared" si="48"/>
        <v>88920000</v>
      </c>
      <c r="AN165" s="20"/>
    </row>
    <row r="166" spans="15:43">
      <c r="O166" s="96"/>
      <c r="Q166" s="169">
        <v>2598983</v>
      </c>
      <c r="R166" s="213" t="s">
        <v>5089</v>
      </c>
      <c r="S166" s="213">
        <f>S165-2</f>
        <v>195</v>
      </c>
      <c r="T166" s="213" t="s">
        <v>5098</v>
      </c>
      <c r="U166" s="213">
        <v>233.2</v>
      </c>
      <c r="V166" s="99">
        <f t="shared" si="49"/>
        <v>271.62880438356166</v>
      </c>
      <c r="W166" s="32">
        <f t="shared" si="50"/>
        <v>277.06138047123289</v>
      </c>
      <c r="X166" s="32">
        <f t="shared" si="51"/>
        <v>282.49395655890413</v>
      </c>
      <c r="Y166" t="s">
        <v>25</v>
      </c>
      <c r="AH166" s="99">
        <v>146</v>
      </c>
      <c r="AI166" s="113" t="s">
        <v>4991</v>
      </c>
      <c r="AJ166" s="113">
        <v>3000000</v>
      </c>
      <c r="AK166" s="99">
        <v>1</v>
      </c>
      <c r="AL166" s="20">
        <f t="shared" si="47"/>
        <v>246</v>
      </c>
      <c r="AM166" s="117">
        <f t="shared" si="48"/>
        <v>738000000</v>
      </c>
      <c r="AN166" s="20"/>
    </row>
    <row r="167" spans="15:43">
      <c r="O167" s="96"/>
      <c r="Q167" s="169">
        <v>8061801</v>
      </c>
      <c r="R167" s="213" t="s">
        <v>5090</v>
      </c>
      <c r="S167" s="213">
        <f>S166-6</f>
        <v>189</v>
      </c>
      <c r="T167" s="213" t="s">
        <v>5101</v>
      </c>
      <c r="U167" s="213">
        <v>240.4</v>
      </c>
      <c r="V167" s="99">
        <f t="shared" si="49"/>
        <v>278.90878684931511</v>
      </c>
      <c r="W167" s="32">
        <f t="shared" si="50"/>
        <v>284.48696258630139</v>
      </c>
      <c r="X167" s="32">
        <f t="shared" si="51"/>
        <v>290.06513832328773</v>
      </c>
      <c r="AH167" s="99">
        <v>147</v>
      </c>
      <c r="AI167" s="113" t="s">
        <v>4988</v>
      </c>
      <c r="AJ167" s="113">
        <v>-658226</v>
      </c>
      <c r="AK167" s="99">
        <v>1</v>
      </c>
      <c r="AL167" s="20">
        <f t="shared" si="47"/>
        <v>245</v>
      </c>
      <c r="AM167" s="117">
        <f t="shared" si="48"/>
        <v>-161265370</v>
      </c>
      <c r="AN167" s="20"/>
    </row>
    <row r="168" spans="15:43">
      <c r="Q168" s="169">
        <v>44179314</v>
      </c>
      <c r="R168" s="213" t="s">
        <v>5106</v>
      </c>
      <c r="S168" s="213">
        <f>S167-1</f>
        <v>188</v>
      </c>
      <c r="T168" s="213" t="s">
        <v>5391</v>
      </c>
      <c r="U168" s="213">
        <v>241.4</v>
      </c>
      <c r="V168" s="99">
        <f t="shared" si="49"/>
        <v>279.8837895890411</v>
      </c>
      <c r="W168" s="32">
        <f t="shared" si="50"/>
        <v>285.48146538082193</v>
      </c>
      <c r="X168" s="32">
        <f t="shared" si="51"/>
        <v>291.07914117260276</v>
      </c>
      <c r="Y168" t="s">
        <v>25</v>
      </c>
      <c r="AH168" s="99">
        <v>148</v>
      </c>
      <c r="AI168" s="113" t="s">
        <v>4994</v>
      </c>
      <c r="AJ168" s="113">
        <v>1000000</v>
      </c>
      <c r="AK168" s="99">
        <v>15</v>
      </c>
      <c r="AL168" s="20">
        <f t="shared" si="47"/>
        <v>244</v>
      </c>
      <c r="AM168" s="117">
        <f t="shared" si="48"/>
        <v>244000000</v>
      </c>
      <c r="AN168" s="20"/>
      <c r="AP168" t="s">
        <v>25</v>
      </c>
    </row>
    <row r="169" spans="15:43">
      <c r="Q169" s="169">
        <v>298455</v>
      </c>
      <c r="R169" s="213" t="s">
        <v>5230</v>
      </c>
      <c r="S169" s="213">
        <f>S168-63</f>
        <v>125</v>
      </c>
      <c r="T169" s="213" t="s">
        <v>5231</v>
      </c>
      <c r="U169" s="213">
        <v>199</v>
      </c>
      <c r="V169" s="99">
        <f t="shared" si="49"/>
        <v>221.10699178082191</v>
      </c>
      <c r="W169" s="32">
        <f t="shared" si="50"/>
        <v>225.52913161643835</v>
      </c>
      <c r="X169" s="32">
        <f t="shared" si="51"/>
        <v>229.95127145205481</v>
      </c>
      <c r="AH169" s="99">
        <v>149</v>
      </c>
      <c r="AI169" s="113" t="s">
        <v>5031</v>
      </c>
      <c r="AJ169" s="113">
        <v>1130250</v>
      </c>
      <c r="AK169" s="99">
        <v>5</v>
      </c>
      <c r="AL169" s="20">
        <f t="shared" si="37"/>
        <v>229</v>
      </c>
      <c r="AM169" s="117">
        <f t="shared" si="46"/>
        <v>258827250</v>
      </c>
      <c r="AN169" s="20"/>
    </row>
    <row r="170" spans="15:43">
      <c r="Q170" s="169">
        <v>451967</v>
      </c>
      <c r="R170" s="213" t="s">
        <v>5389</v>
      </c>
      <c r="S170" s="213">
        <f>S169-95</f>
        <v>30</v>
      </c>
      <c r="T170" s="213" t="s">
        <v>5392</v>
      </c>
      <c r="U170" s="213">
        <v>2249.4</v>
      </c>
      <c r="V170" s="99">
        <f t="shared" si="49"/>
        <v>2335.3578936986305</v>
      </c>
      <c r="W170" s="32">
        <f t="shared" ref="W170:W190" si="52">V170*(1+$W$19/100)</f>
        <v>2382.0650515726034</v>
      </c>
      <c r="X170" s="32">
        <f t="shared" ref="X170:X190" si="53">V170*(1+$X$19/100)</f>
        <v>2428.7722094465757</v>
      </c>
      <c r="Y170" t="s">
        <v>25</v>
      </c>
      <c r="AE170" s="96" t="s">
        <v>25</v>
      </c>
      <c r="AH170" s="99">
        <v>150</v>
      </c>
      <c r="AI170" s="113" t="s">
        <v>5047</v>
      </c>
      <c r="AJ170" s="113">
        <v>206000</v>
      </c>
      <c r="AK170" s="99">
        <v>2</v>
      </c>
      <c r="AL170" s="20">
        <f t="shared" si="37"/>
        <v>224</v>
      </c>
      <c r="AM170" s="117">
        <f t="shared" si="46"/>
        <v>46144000</v>
      </c>
      <c r="AN170" s="20"/>
    </row>
    <row r="171" spans="15:43">
      <c r="Q171" s="169">
        <v>2753493</v>
      </c>
      <c r="R171" s="213" t="s">
        <v>5409</v>
      </c>
      <c r="S171" s="213">
        <f>S170-9</f>
        <v>21</v>
      </c>
      <c r="T171" s="213" t="s">
        <v>5436</v>
      </c>
      <c r="U171" s="213">
        <v>337.5</v>
      </c>
      <c r="V171" s="99">
        <f t="shared" si="49"/>
        <v>348.06698630136987</v>
      </c>
      <c r="W171" s="32">
        <f t="shared" si="52"/>
        <v>355.02832602739727</v>
      </c>
      <c r="X171" s="32">
        <f t="shared" si="53"/>
        <v>361.98966575342467</v>
      </c>
      <c r="AH171" s="99">
        <v>151</v>
      </c>
      <c r="AI171" s="113" t="s">
        <v>5054</v>
      </c>
      <c r="AJ171" s="113">
        <v>50000</v>
      </c>
      <c r="AK171" s="99">
        <v>2</v>
      </c>
      <c r="AL171" s="20">
        <f t="shared" si="37"/>
        <v>222</v>
      </c>
      <c r="AM171" s="117">
        <f t="shared" si="46"/>
        <v>11100000</v>
      </c>
      <c r="AN171" s="20"/>
    </row>
    <row r="172" spans="15:43">
      <c r="Q172" s="169">
        <v>7032.8</v>
      </c>
      <c r="R172" s="213" t="s">
        <v>5423</v>
      </c>
      <c r="S172" s="213">
        <f>S171-8</f>
        <v>13</v>
      </c>
      <c r="T172" s="213" t="s">
        <v>5432</v>
      </c>
      <c r="U172" s="213">
        <v>7001.1</v>
      </c>
      <c r="V172" s="99">
        <f t="shared" si="49"/>
        <v>7177.3359090410968</v>
      </c>
      <c r="W172" s="32">
        <f t="shared" si="52"/>
        <v>7320.8826272219185</v>
      </c>
      <c r="X172" s="32">
        <f t="shared" si="53"/>
        <v>7464.4293454027411</v>
      </c>
      <c r="Y172" t="s">
        <v>25</v>
      </c>
      <c r="AH172" s="99">
        <v>152</v>
      </c>
      <c r="AI172" s="113" t="s">
        <v>5061</v>
      </c>
      <c r="AJ172" s="113">
        <v>105000</v>
      </c>
      <c r="AK172" s="99">
        <v>4</v>
      </c>
      <c r="AL172" s="20">
        <f t="shared" si="37"/>
        <v>220</v>
      </c>
      <c r="AM172" s="117">
        <f t="shared" si="46"/>
        <v>23100000</v>
      </c>
      <c r="AN172" s="20"/>
    </row>
    <row r="173" spans="15:43">
      <c r="Q173" s="169">
        <v>5002720</v>
      </c>
      <c r="R173" s="213" t="s">
        <v>5434</v>
      </c>
      <c r="S173" s="213">
        <f>S172-4</f>
        <v>9</v>
      </c>
      <c r="T173" s="213" t="s">
        <v>5464</v>
      </c>
      <c r="U173" s="213">
        <v>2316.1</v>
      </c>
      <c r="V173" s="99">
        <f t="shared" si="49"/>
        <v>2367.2953282191784</v>
      </c>
      <c r="W173" s="32">
        <f t="shared" si="52"/>
        <v>2414.6412347835621</v>
      </c>
      <c r="X173" s="32">
        <f t="shared" si="53"/>
        <v>2461.9871413479455</v>
      </c>
      <c r="Y173" t="s">
        <v>25</v>
      </c>
      <c r="AH173" s="99">
        <v>153</v>
      </c>
      <c r="AI173" s="113" t="s">
        <v>5066</v>
      </c>
      <c r="AJ173" s="113">
        <v>5000000</v>
      </c>
      <c r="AK173" s="99">
        <v>1</v>
      </c>
      <c r="AL173" s="20">
        <f t="shared" si="37"/>
        <v>216</v>
      </c>
      <c r="AM173" s="117">
        <f t="shared" si="46"/>
        <v>1080000000</v>
      </c>
      <c r="AN173" s="20"/>
    </row>
    <row r="174" spans="15:43">
      <c r="Q174" s="169">
        <v>4038752</v>
      </c>
      <c r="R174" s="213" t="s">
        <v>5438</v>
      </c>
      <c r="S174" s="213">
        <f>S173-2</f>
        <v>7</v>
      </c>
      <c r="T174" s="213" t="s">
        <v>5439</v>
      </c>
      <c r="U174" s="213">
        <v>7310</v>
      </c>
      <c r="V174" s="99">
        <f t="shared" si="49"/>
        <v>7460.3656986301385</v>
      </c>
      <c r="W174" s="32">
        <f t="shared" si="52"/>
        <v>7609.5730126027411</v>
      </c>
      <c r="X174" s="32">
        <f t="shared" si="53"/>
        <v>7758.7803265753446</v>
      </c>
      <c r="Y174" t="s">
        <v>25</v>
      </c>
      <c r="Z174" t="s">
        <v>25</v>
      </c>
      <c r="AH174" s="99">
        <v>154</v>
      </c>
      <c r="AI174" s="113" t="s">
        <v>5067</v>
      </c>
      <c r="AJ174" s="113">
        <v>2500000</v>
      </c>
      <c r="AK174" s="99">
        <v>2</v>
      </c>
      <c r="AL174" s="20">
        <f t="shared" si="37"/>
        <v>215</v>
      </c>
      <c r="AM174" s="117">
        <f t="shared" si="46"/>
        <v>537500000</v>
      </c>
      <c r="AN174" s="20"/>
    </row>
    <row r="175" spans="15:43">
      <c r="Q175" s="169">
        <v>10044314</v>
      </c>
      <c r="R175" s="213" t="s">
        <v>5438</v>
      </c>
      <c r="S175" s="213">
        <f>S174</f>
        <v>7</v>
      </c>
      <c r="T175" s="213" t="s">
        <v>5446</v>
      </c>
      <c r="U175" s="213">
        <v>401.5</v>
      </c>
      <c r="V175" s="99">
        <f t="shared" si="49"/>
        <v>409.75880000000006</v>
      </c>
      <c r="W175" s="32">
        <f t="shared" si="52"/>
        <v>417.95397600000007</v>
      </c>
      <c r="X175" s="32">
        <f t="shared" si="53"/>
        <v>426.14915200000007</v>
      </c>
      <c r="Z175" t="s">
        <v>25</v>
      </c>
      <c r="AH175" s="269">
        <v>155</v>
      </c>
      <c r="AI175" s="265" t="s">
        <v>5074</v>
      </c>
      <c r="AJ175" s="265">
        <v>-50000000</v>
      </c>
      <c r="AK175" s="269">
        <v>7</v>
      </c>
      <c r="AL175" s="269">
        <f t="shared" si="37"/>
        <v>213</v>
      </c>
      <c r="AM175" s="265">
        <f t="shared" si="46"/>
        <v>-10650000000</v>
      </c>
      <c r="AN175" s="269" t="s">
        <v>5083</v>
      </c>
    </row>
    <row r="176" spans="15:43">
      <c r="Q176" s="169">
        <v>632415</v>
      </c>
      <c r="R176" s="213" t="s">
        <v>5449</v>
      </c>
      <c r="S176" s="213">
        <f>S175-5</f>
        <v>2</v>
      </c>
      <c r="T176" s="213" t="s">
        <v>5455</v>
      </c>
      <c r="U176" s="213">
        <v>7236.3</v>
      </c>
      <c r="V176" s="99">
        <f t="shared" si="49"/>
        <v>7357.3940284931523</v>
      </c>
      <c r="W176" s="32">
        <f t="shared" si="52"/>
        <v>7504.5419090630157</v>
      </c>
      <c r="X176" s="32">
        <f t="shared" si="53"/>
        <v>7651.6897896328783</v>
      </c>
      <c r="Z176" t="s">
        <v>25</v>
      </c>
      <c r="AH176" s="99">
        <v>156</v>
      </c>
      <c r="AI176" s="113" t="s">
        <v>5081</v>
      </c>
      <c r="AJ176" s="113">
        <v>10000000</v>
      </c>
      <c r="AK176" s="99">
        <v>12</v>
      </c>
      <c r="AL176" s="20">
        <f t="shared" si="37"/>
        <v>206</v>
      </c>
      <c r="AM176" s="117">
        <f t="shared" si="46"/>
        <v>2060000000</v>
      </c>
      <c r="AN176" s="20" t="s">
        <v>4742</v>
      </c>
    </row>
    <row r="177" spans="16:44">
      <c r="Q177" s="169">
        <v>9235428</v>
      </c>
      <c r="R177" s="213" t="s">
        <v>5449</v>
      </c>
      <c r="S177" s="213">
        <f>S176</f>
        <v>2</v>
      </c>
      <c r="T177" s="213" t="s">
        <v>5456</v>
      </c>
      <c r="U177" s="213">
        <v>393.9</v>
      </c>
      <c r="V177" s="99">
        <f t="shared" si="49"/>
        <v>400.49161972602741</v>
      </c>
      <c r="W177" s="32">
        <f t="shared" si="52"/>
        <v>408.50145212054798</v>
      </c>
      <c r="X177" s="32">
        <f t="shared" si="53"/>
        <v>416.5112845150685</v>
      </c>
      <c r="AH177" s="99">
        <v>157</v>
      </c>
      <c r="AI177" s="113" t="s">
        <v>5090</v>
      </c>
      <c r="AJ177" s="113">
        <v>-16266000</v>
      </c>
      <c r="AK177" s="99">
        <v>1</v>
      </c>
      <c r="AL177" s="20">
        <f t="shared" si="37"/>
        <v>194</v>
      </c>
      <c r="AM177" s="117">
        <f t="shared" si="46"/>
        <v>-3155604000</v>
      </c>
      <c r="AN177" s="20" t="s">
        <v>5105</v>
      </c>
      <c r="AQ177" t="s">
        <v>25</v>
      </c>
    </row>
    <row r="178" spans="16:44">
      <c r="Q178" s="169">
        <v>6417109</v>
      </c>
      <c r="R178" s="213" t="s">
        <v>5457</v>
      </c>
      <c r="S178" s="213">
        <f>S177-1</f>
        <v>1</v>
      </c>
      <c r="T178" s="213" t="s">
        <v>5458</v>
      </c>
      <c r="U178" s="213">
        <v>7097.9</v>
      </c>
      <c r="V178" s="99">
        <f t="shared" si="49"/>
        <v>7211.2330443835617</v>
      </c>
      <c r="W178" s="32">
        <f t="shared" si="52"/>
        <v>7355.457705271233</v>
      </c>
      <c r="X178" s="32">
        <f t="shared" si="53"/>
        <v>7499.6823661589042</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14064226</v>
      </c>
      <c r="R179" s="213" t="s">
        <v>5457</v>
      </c>
      <c r="S179" s="213">
        <f>S178</f>
        <v>1</v>
      </c>
      <c r="T179" s="213" t="s">
        <v>5459</v>
      </c>
      <c r="U179" s="213">
        <v>393.7</v>
      </c>
      <c r="V179" s="99">
        <f t="shared" si="49"/>
        <v>399.98625643835618</v>
      </c>
      <c r="W179" s="32">
        <f t="shared" si="52"/>
        <v>407.9859815671233</v>
      </c>
      <c r="X179" s="32">
        <f t="shared" si="53"/>
        <v>415.98570669589043</v>
      </c>
      <c r="Y179" t="s">
        <v>25</v>
      </c>
      <c r="AH179" s="99">
        <v>159</v>
      </c>
      <c r="AI179" s="113" t="s">
        <v>5114</v>
      </c>
      <c r="AJ179" s="113">
        <v>40000</v>
      </c>
      <c r="AK179" s="99">
        <v>5</v>
      </c>
      <c r="AL179" s="20">
        <f t="shared" si="54"/>
        <v>187</v>
      </c>
      <c r="AM179" s="117">
        <f t="shared" si="55"/>
        <v>7480000</v>
      </c>
      <c r="AN179" s="20"/>
    </row>
    <row r="180" spans="16:44">
      <c r="Q180" s="169">
        <v>1466606</v>
      </c>
      <c r="R180" s="213" t="s">
        <v>5466</v>
      </c>
      <c r="S180" s="213">
        <f>S179-1</f>
        <v>0</v>
      </c>
      <c r="T180" s="213" t="s">
        <v>5471</v>
      </c>
      <c r="U180" s="213">
        <v>2416.9</v>
      </c>
      <c r="V180" s="99">
        <f t="shared" si="49"/>
        <v>2453.6368800000005</v>
      </c>
      <c r="W180" s="32">
        <f t="shared" si="52"/>
        <v>2502.7096176000005</v>
      </c>
      <c r="X180" s="32">
        <f t="shared" si="53"/>
        <v>2551.7823552000004</v>
      </c>
      <c r="AH180" s="99">
        <v>160</v>
      </c>
      <c r="AI180" s="113" t="s">
        <v>5126</v>
      </c>
      <c r="AJ180" s="113">
        <v>120000</v>
      </c>
      <c r="AK180" s="99">
        <v>6</v>
      </c>
      <c r="AL180" s="20">
        <f t="shared" si="54"/>
        <v>182</v>
      </c>
      <c r="AM180" s="117">
        <f t="shared" si="55"/>
        <v>21840000</v>
      </c>
      <c r="AN180" s="20"/>
    </row>
    <row r="181" spans="16:44">
      <c r="Q181" s="169">
        <v>7802773</v>
      </c>
      <c r="R181" s="213" t="s">
        <v>5466</v>
      </c>
      <c r="S181" s="213">
        <f>S180</f>
        <v>0</v>
      </c>
      <c r="T181" s="213" t="s">
        <v>5472</v>
      </c>
      <c r="U181" s="213">
        <v>7100.1</v>
      </c>
      <c r="V181" s="99">
        <f t="shared" si="49"/>
        <v>7208.0215200000011</v>
      </c>
      <c r="W181" s="32">
        <f t="shared" si="52"/>
        <v>7352.1819504000014</v>
      </c>
      <c r="X181" s="32">
        <f t="shared" si="53"/>
        <v>7496.3423808000016</v>
      </c>
      <c r="Y181" t="s">
        <v>25</v>
      </c>
      <c r="Z181" t="s">
        <v>25</v>
      </c>
      <c r="AH181" s="99">
        <v>161</v>
      </c>
      <c r="AI181" s="113" t="s">
        <v>5119</v>
      </c>
      <c r="AJ181" s="113">
        <v>249000</v>
      </c>
      <c r="AK181" s="99">
        <v>9</v>
      </c>
      <c r="AL181" s="20">
        <f t="shared" si="54"/>
        <v>176</v>
      </c>
      <c r="AM181" s="117">
        <f t="shared" si="55"/>
        <v>43824000</v>
      </c>
      <c r="AN181" s="20"/>
    </row>
    <row r="182" spans="16:44">
      <c r="Q182" s="169">
        <v>1184268</v>
      </c>
      <c r="R182" s="213" t="s">
        <v>5466</v>
      </c>
      <c r="S182" s="213">
        <f>S181</f>
        <v>0</v>
      </c>
      <c r="T182" s="213" t="s">
        <v>5473</v>
      </c>
      <c r="U182" s="213">
        <v>392.9</v>
      </c>
      <c r="V182" s="99">
        <f t="shared" si="49"/>
        <v>398.87208000000004</v>
      </c>
      <c r="W182" s="32">
        <f t="shared" si="52"/>
        <v>406.84952160000006</v>
      </c>
      <c r="X182" s="32">
        <f t="shared" si="53"/>
        <v>414.82696320000008</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238840</v>
      </c>
      <c r="R183" s="213" t="s">
        <v>5466</v>
      </c>
      <c r="S183" s="213">
        <f>S182</f>
        <v>0</v>
      </c>
      <c r="T183" s="213" t="s">
        <v>5474</v>
      </c>
      <c r="U183" s="213">
        <v>1055.2</v>
      </c>
      <c r="V183" s="99">
        <f t="shared" si="49"/>
        <v>1071.2390400000002</v>
      </c>
      <c r="W183" s="32">
        <f t="shared" si="52"/>
        <v>1092.6638208000002</v>
      </c>
      <c r="X183" s="32">
        <f t="shared" si="53"/>
        <v>1114.0886016000002</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70317</v>
      </c>
      <c r="R184" s="213" t="s">
        <v>5466</v>
      </c>
      <c r="S184" s="213">
        <f>S183</f>
        <v>0</v>
      </c>
      <c r="T184" s="213" t="s">
        <v>5476</v>
      </c>
      <c r="U184" s="213">
        <v>1400</v>
      </c>
      <c r="V184" s="99">
        <f t="shared" si="49"/>
        <v>1421.2800000000002</v>
      </c>
      <c r="W184" s="32">
        <f t="shared" si="52"/>
        <v>1449.7056000000002</v>
      </c>
      <c r="X184" s="32">
        <f t="shared" si="53"/>
        <v>1478.1312000000003</v>
      </c>
      <c r="AH184" s="99">
        <v>164</v>
      </c>
      <c r="AI184" s="113" t="s">
        <v>5161</v>
      </c>
      <c r="AJ184" s="113">
        <v>50000</v>
      </c>
      <c r="AK184" s="99">
        <v>6</v>
      </c>
      <c r="AL184" s="20">
        <f t="shared" si="58"/>
        <v>160</v>
      </c>
      <c r="AM184" s="117">
        <f t="shared" si="59"/>
        <v>8000000</v>
      </c>
      <c r="AN184" s="20"/>
      <c r="AR184" t="s">
        <v>25</v>
      </c>
    </row>
    <row r="185" spans="16:44">
      <c r="P185" t="s">
        <v>25</v>
      </c>
      <c r="Q185" s="169">
        <v>1042403</v>
      </c>
      <c r="R185" s="213" t="s">
        <v>5477</v>
      </c>
      <c r="S185" s="213">
        <f>S184-4</f>
        <v>-4</v>
      </c>
      <c r="T185" s="213" t="s">
        <v>5482</v>
      </c>
      <c r="U185" s="213">
        <v>1026.3</v>
      </c>
      <c r="V185" s="99">
        <f t="shared" si="49"/>
        <v>1038.750565479452</v>
      </c>
      <c r="W185" s="32">
        <f t="shared" si="52"/>
        <v>1059.525576789041</v>
      </c>
      <c r="X185" s="32">
        <f t="shared" si="53"/>
        <v>1080.3005880986302</v>
      </c>
      <c r="Y185" t="s">
        <v>25</v>
      </c>
      <c r="Z185" t="s">
        <v>25</v>
      </c>
      <c r="AH185" s="99">
        <v>165</v>
      </c>
      <c r="AI185" s="113" t="s">
        <v>5174</v>
      </c>
      <c r="AJ185" s="113">
        <v>-200000</v>
      </c>
      <c r="AK185" s="99">
        <v>0</v>
      </c>
      <c r="AL185" s="20">
        <f t="shared" si="58"/>
        <v>154</v>
      </c>
      <c r="AM185" s="117">
        <f t="shared" si="59"/>
        <v>-30800000</v>
      </c>
      <c r="AN185" s="20" t="s">
        <v>5175</v>
      </c>
    </row>
    <row r="186" spans="16:44">
      <c r="Q186" s="169">
        <v>497886</v>
      </c>
      <c r="R186" s="213" t="s">
        <v>5477</v>
      </c>
      <c r="S186" s="213">
        <f>S185</f>
        <v>-4</v>
      </c>
      <c r="T186" s="213" t="s">
        <v>5483</v>
      </c>
      <c r="U186" s="213">
        <v>6980.8</v>
      </c>
      <c r="V186" s="99">
        <f t="shared" si="49"/>
        <v>7065.4876230136988</v>
      </c>
      <c r="W186" s="32">
        <f t="shared" si="52"/>
        <v>7206.7973754739733</v>
      </c>
      <c r="X186" s="32">
        <f t="shared" si="53"/>
        <v>7348.1071279342468</v>
      </c>
      <c r="AH186" s="99">
        <v>166</v>
      </c>
      <c r="AI186" s="113" t="s">
        <v>5174</v>
      </c>
      <c r="AJ186" s="113">
        <v>200000</v>
      </c>
      <c r="AK186" s="99">
        <v>3</v>
      </c>
      <c r="AL186" s="20">
        <f t="shared" si="58"/>
        <v>154</v>
      </c>
      <c r="AM186" s="117">
        <f t="shared" si="59"/>
        <v>30800000</v>
      </c>
      <c r="AN186" s="20"/>
      <c r="AQ186" t="s">
        <v>25</v>
      </c>
      <c r="AR186" t="s">
        <v>25</v>
      </c>
    </row>
    <row r="187" spans="16:44">
      <c r="Q187" s="169">
        <v>182169</v>
      </c>
      <c r="R187" s="213" t="s">
        <v>5477</v>
      </c>
      <c r="S187" s="213">
        <f>S186</f>
        <v>-4</v>
      </c>
      <c r="T187" s="213" t="s">
        <v>5484</v>
      </c>
      <c r="U187" s="213">
        <v>1018.7</v>
      </c>
      <c r="V187" s="99">
        <f t="shared" si="49"/>
        <v>1031.0583660273974</v>
      </c>
      <c r="W187" s="32">
        <f t="shared" si="52"/>
        <v>1051.6795333479454</v>
      </c>
      <c r="X187" s="32">
        <f t="shared" si="53"/>
        <v>1072.3007006684934</v>
      </c>
      <c r="Z187" t="s">
        <v>25</v>
      </c>
      <c r="AH187" s="99">
        <v>167</v>
      </c>
      <c r="AI187" s="113" t="s">
        <v>5183</v>
      </c>
      <c r="AJ187" s="113">
        <v>200000</v>
      </c>
      <c r="AK187" s="99">
        <v>3</v>
      </c>
      <c r="AL187" s="20">
        <f t="shared" si="58"/>
        <v>151</v>
      </c>
      <c r="AM187" s="117">
        <f t="shared" si="59"/>
        <v>30200000</v>
      </c>
      <c r="AN187" s="20"/>
    </row>
    <row r="188" spans="16:44">
      <c r="Q188" s="169"/>
      <c r="R188" s="213"/>
      <c r="S188" s="213"/>
      <c r="T188" s="213"/>
      <c r="U188" s="213"/>
      <c r="V188" s="99"/>
      <c r="W188" s="32"/>
      <c r="X188" s="32"/>
      <c r="AH188" s="99">
        <v>168</v>
      </c>
      <c r="AI188" s="113" t="s">
        <v>5186</v>
      </c>
      <c r="AJ188" s="113">
        <v>30000</v>
      </c>
      <c r="AK188" s="99">
        <v>7</v>
      </c>
      <c r="AL188" s="20">
        <f t="shared" si="58"/>
        <v>148</v>
      </c>
      <c r="AM188" s="117">
        <f t="shared" si="59"/>
        <v>4440000</v>
      </c>
      <c r="AN188" s="20"/>
    </row>
    <row r="189" spans="16:44">
      <c r="Q189" s="169"/>
      <c r="R189" s="213"/>
      <c r="S189" s="213"/>
      <c r="T189" s="213"/>
      <c r="U189" s="213"/>
      <c r="V189" s="99"/>
      <c r="W189" s="32"/>
      <c r="X189" s="32"/>
      <c r="Y189" t="s">
        <v>25</v>
      </c>
      <c r="AH189" s="99">
        <v>169</v>
      </c>
      <c r="AI189" s="113" t="s">
        <v>5136</v>
      </c>
      <c r="AJ189" s="113">
        <v>-10000000</v>
      </c>
      <c r="AK189" s="99">
        <v>0</v>
      </c>
      <c r="AL189" s="20">
        <f t="shared" si="58"/>
        <v>141</v>
      </c>
      <c r="AM189" s="117">
        <f t="shared" si="59"/>
        <v>-1410000000</v>
      </c>
      <c r="AN189" s="20" t="s">
        <v>5083</v>
      </c>
    </row>
    <row r="190" spans="16:44">
      <c r="Q190" s="169"/>
      <c r="R190" s="168"/>
      <c r="S190" s="168"/>
      <c r="T190" s="168"/>
      <c r="U190" s="168"/>
      <c r="V190" s="99">
        <f>U190*(1+$R$125+$Q$15*S190/36500)</f>
        <v>0</v>
      </c>
      <c r="W190" s="32">
        <f t="shared" si="52"/>
        <v>0</v>
      </c>
      <c r="X190" s="32">
        <f t="shared" si="53"/>
        <v>0</v>
      </c>
      <c r="Y190" t="s">
        <v>25</v>
      </c>
      <c r="AH190" s="99">
        <v>170</v>
      </c>
      <c r="AI190" s="113" t="s">
        <v>5136</v>
      </c>
      <c r="AJ190" s="113">
        <v>6000000</v>
      </c>
      <c r="AK190" s="99">
        <v>8</v>
      </c>
      <c r="AL190" s="20">
        <f t="shared" si="58"/>
        <v>141</v>
      </c>
      <c r="AM190" s="117">
        <f t="shared" si="59"/>
        <v>846000000</v>
      </c>
      <c r="AN190" s="20"/>
      <c r="AP190" t="s">
        <v>25</v>
      </c>
    </row>
    <row r="191" spans="16:44">
      <c r="Q191" s="113">
        <f>SUM(N43:N51)-SUM(Q129:Q190)</f>
        <v>642216867.0999999</v>
      </c>
      <c r="R191" s="112"/>
      <c r="S191" s="112"/>
      <c r="T191" s="112"/>
      <c r="U191" s="168"/>
      <c r="V191" s="99" t="s">
        <v>25</v>
      </c>
      <c r="W191" s="32"/>
      <c r="X191" s="32"/>
      <c r="Y191" t="s">
        <v>25</v>
      </c>
      <c r="AH191" s="99">
        <v>171</v>
      </c>
      <c r="AI191" s="113" t="s">
        <v>5219</v>
      </c>
      <c r="AJ191" s="113">
        <v>150000</v>
      </c>
      <c r="AK191" s="99">
        <v>7</v>
      </c>
      <c r="AL191" s="20">
        <f t="shared" ref="AL191:AL222" si="60">AL192+AK191</f>
        <v>133</v>
      </c>
      <c r="AM191" s="117">
        <f t="shared" ref="AM191:AM222" si="61">AJ191*AL191</f>
        <v>19950000</v>
      </c>
      <c r="AN191" s="20"/>
    </row>
    <row r="192" spans="16:44">
      <c r="Q192" s="26"/>
      <c r="R192" s="181"/>
      <c r="S192" s="181"/>
      <c r="T192" t="s">
        <v>25</v>
      </c>
      <c r="U192" s="96" t="s">
        <v>25</v>
      </c>
      <c r="V192" s="96" t="s">
        <v>25</v>
      </c>
      <c r="W192" s="96" t="s">
        <v>25</v>
      </c>
      <c r="AH192" s="99">
        <v>172</v>
      </c>
      <c r="AI192" s="113" t="s">
        <v>5261</v>
      </c>
      <c r="AJ192" s="113">
        <v>400000</v>
      </c>
      <c r="AK192" s="99">
        <v>1</v>
      </c>
      <c r="AL192" s="20">
        <f t="shared" si="60"/>
        <v>126</v>
      </c>
      <c r="AM192" s="117">
        <f t="shared" si="61"/>
        <v>50400000</v>
      </c>
      <c r="AN192" s="20"/>
    </row>
    <row r="193" spans="15:45">
      <c r="R193" s="32" t="s">
        <v>4557</v>
      </c>
      <c r="S193" s="32" t="s">
        <v>948</v>
      </c>
      <c r="T193" t="s">
        <v>25</v>
      </c>
      <c r="U193" s="96" t="s">
        <v>25</v>
      </c>
      <c r="V193" s="96" t="s">
        <v>25</v>
      </c>
      <c r="W193" s="96" t="s">
        <v>25</v>
      </c>
      <c r="X193" s="122" t="s">
        <v>25</v>
      </c>
      <c r="AH193" s="99">
        <v>173</v>
      </c>
      <c r="AI193" s="113" t="s">
        <v>5266</v>
      </c>
      <c r="AJ193" s="113">
        <v>-100000</v>
      </c>
      <c r="AK193" s="99">
        <v>1</v>
      </c>
      <c r="AL193" s="20">
        <f t="shared" si="60"/>
        <v>125</v>
      </c>
      <c r="AM193" s="117">
        <f t="shared" si="61"/>
        <v>-12500000</v>
      </c>
      <c r="AN193" s="20"/>
    </row>
    <row r="194" spans="15:45">
      <c r="R194" s="32">
        <v>77029</v>
      </c>
      <c r="S194" s="234">
        <v>38608081</v>
      </c>
      <c r="U194" s="96" t="s">
        <v>25</v>
      </c>
      <c r="V194" s="122" t="s">
        <v>25</v>
      </c>
      <c r="W194" s="96" t="s">
        <v>25</v>
      </c>
      <c r="X194" t="s">
        <v>25</v>
      </c>
      <c r="Y194" t="s">
        <v>25</v>
      </c>
      <c r="AH194" s="99">
        <v>174</v>
      </c>
      <c r="AI194" s="113" t="s">
        <v>5270</v>
      </c>
      <c r="AJ194" s="113">
        <v>10000000</v>
      </c>
      <c r="AK194" s="99">
        <v>1</v>
      </c>
      <c r="AL194" s="20">
        <f t="shared" si="60"/>
        <v>124</v>
      </c>
      <c r="AM194" s="117">
        <f t="shared" si="61"/>
        <v>1240000000</v>
      </c>
      <c r="AN194" s="20" t="s">
        <v>4742</v>
      </c>
      <c r="AS194" t="s">
        <v>25</v>
      </c>
    </row>
    <row r="195" spans="15:45">
      <c r="Q195" t="s">
        <v>25</v>
      </c>
      <c r="R195" s="32">
        <v>5000</v>
      </c>
      <c r="S195" s="1">
        <f>S194*R195/R194</f>
        <v>2506074.4005504418</v>
      </c>
      <c r="U195" s="96" t="s">
        <v>25</v>
      </c>
      <c r="V195" s="122" t="s">
        <v>25</v>
      </c>
      <c r="W195" s="96" t="s">
        <v>25</v>
      </c>
      <c r="X195" t="s">
        <v>25</v>
      </c>
      <c r="AH195" s="99">
        <v>175</v>
      </c>
      <c r="AI195" s="113" t="s">
        <v>5277</v>
      </c>
      <c r="AJ195" s="113">
        <v>-400000</v>
      </c>
      <c r="AK195" s="99">
        <v>6</v>
      </c>
      <c r="AL195" s="20">
        <f t="shared" ref="AL195:AL203" si="62">AL196+AK195</f>
        <v>123</v>
      </c>
      <c r="AM195" s="117">
        <f t="shared" ref="AM195:AM203" si="63">AJ195*AL195</f>
        <v>-49200000</v>
      </c>
      <c r="AN195" s="20"/>
    </row>
    <row r="196" spans="15:45">
      <c r="R196" s="32">
        <f>R194-R195</f>
        <v>72029</v>
      </c>
      <c r="S196" s="1">
        <f>R196*S194/R194</f>
        <v>36102006.59944956</v>
      </c>
      <c r="T196" t="s">
        <v>25</v>
      </c>
      <c r="U196" s="122" t="s">
        <v>25</v>
      </c>
      <c r="V196" s="96"/>
      <c r="W196" s="122" t="s">
        <v>25</v>
      </c>
      <c r="X196" t="s">
        <v>25</v>
      </c>
      <c r="AH196" s="99">
        <v>176</v>
      </c>
      <c r="AI196" s="113" t="s">
        <v>5285</v>
      </c>
      <c r="AJ196" s="113">
        <v>1300000</v>
      </c>
      <c r="AK196" s="99">
        <v>0</v>
      </c>
      <c r="AL196" s="20">
        <f t="shared" si="62"/>
        <v>117</v>
      </c>
      <c r="AM196" s="117">
        <f t="shared" si="63"/>
        <v>152100000</v>
      </c>
      <c r="AN196" s="20"/>
      <c r="AR196" t="s">
        <v>25</v>
      </c>
    </row>
    <row r="197" spans="15:45">
      <c r="V197" s="96"/>
      <c r="W197"/>
      <c r="X197" t="s">
        <v>25</v>
      </c>
      <c r="Y197" t="s">
        <v>25</v>
      </c>
      <c r="AH197" s="99">
        <v>177</v>
      </c>
      <c r="AI197" s="113" t="s">
        <v>5285</v>
      </c>
      <c r="AJ197" s="113">
        <v>230000</v>
      </c>
      <c r="AK197" s="99">
        <v>1</v>
      </c>
      <c r="AL197" s="20">
        <f t="shared" si="62"/>
        <v>117</v>
      </c>
      <c r="AM197" s="117">
        <f t="shared" si="63"/>
        <v>26910000</v>
      </c>
      <c r="AN197" s="20"/>
    </row>
    <row r="198" spans="15:45">
      <c r="Q198" s="99" t="s">
        <v>4448</v>
      </c>
      <c r="R198" s="99" t="s">
        <v>4450</v>
      </c>
      <c r="S198" s="99"/>
      <c r="T198" s="99" t="s">
        <v>4451</v>
      </c>
      <c r="U198" s="99"/>
      <c r="V198" s="99"/>
      <c r="W198" s="99" t="s">
        <v>4560</v>
      </c>
      <c r="AH198" s="99">
        <v>178</v>
      </c>
      <c r="AI198" s="113" t="s">
        <v>5290</v>
      </c>
      <c r="AJ198" s="113">
        <v>880000</v>
      </c>
      <c r="AK198" s="99">
        <v>4</v>
      </c>
      <c r="AL198" s="20">
        <f t="shared" si="62"/>
        <v>116</v>
      </c>
      <c r="AM198" s="117">
        <f t="shared" si="63"/>
        <v>102080000</v>
      </c>
      <c r="AN198" s="20"/>
    </row>
    <row r="199" spans="15:45">
      <c r="P199" s="114"/>
      <c r="Q199" s="113">
        <v>1000</v>
      </c>
      <c r="R199" s="99">
        <v>0.25</v>
      </c>
      <c r="S199" s="99"/>
      <c r="T199" s="99">
        <f>1-R199</f>
        <v>0.75</v>
      </c>
      <c r="U199" s="99"/>
      <c r="V199" s="99"/>
      <c r="W199" s="99"/>
      <c r="Y199" t="s">
        <v>25</v>
      </c>
      <c r="AH199" s="99">
        <v>179</v>
      </c>
      <c r="AI199" s="113" t="s">
        <v>5295</v>
      </c>
      <c r="AJ199" s="113">
        <v>-900000</v>
      </c>
      <c r="AK199" s="99">
        <v>1</v>
      </c>
      <c r="AL199" s="20">
        <f t="shared" si="62"/>
        <v>112</v>
      </c>
      <c r="AM199" s="117">
        <f t="shared" si="63"/>
        <v>-100800000</v>
      </c>
      <c r="AN199" s="20"/>
    </row>
    <row r="200" spans="15:45">
      <c r="O200" t="s">
        <v>25</v>
      </c>
      <c r="P200" s="114"/>
      <c r="Q200" s="168" t="s">
        <v>4435</v>
      </c>
      <c r="R200" s="168" t="s">
        <v>4453</v>
      </c>
      <c r="S200" s="168" t="s">
        <v>4454</v>
      </c>
      <c r="T200" s="168"/>
      <c r="U200" s="168" t="s">
        <v>4449</v>
      </c>
      <c r="V200" s="56" t="s">
        <v>4452</v>
      </c>
      <c r="W200" s="99"/>
      <c r="X200" s="8" t="s">
        <v>25</v>
      </c>
      <c r="AH200" s="99">
        <v>180</v>
      </c>
      <c r="AI200" s="113" t="s">
        <v>990</v>
      </c>
      <c r="AJ200" s="113">
        <v>-3500000</v>
      </c>
      <c r="AK200" s="99">
        <v>1</v>
      </c>
      <c r="AL200" s="20">
        <f t="shared" si="62"/>
        <v>111</v>
      </c>
      <c r="AM200" s="117">
        <f t="shared" si="63"/>
        <v>-388500000</v>
      </c>
      <c r="AN200" s="20"/>
      <c r="AR200" t="s">
        <v>25</v>
      </c>
    </row>
    <row r="201" spans="15:45">
      <c r="P201" s="114"/>
      <c r="Q201" s="168" t="s">
        <v>750</v>
      </c>
      <c r="R201" s="56">
        <v>1752733</v>
      </c>
      <c r="S201" s="113">
        <f>R201*$T$367</f>
        <v>1108879221.3967597</v>
      </c>
      <c r="T201" s="168"/>
      <c r="U201" s="168">
        <f>$Q$199*$T$199*S201/$R$228</f>
        <v>347.67158775036296</v>
      </c>
      <c r="V201" s="95">
        <f>S201+U201</f>
        <v>1108879569.0683475</v>
      </c>
      <c r="W201" s="99">
        <f>R201*100/U364</f>
        <v>46.356211700048398</v>
      </c>
      <c r="X201" s="217"/>
      <c r="AH201" s="99">
        <v>181</v>
      </c>
      <c r="AI201" s="113" t="s">
        <v>4272</v>
      </c>
      <c r="AJ201" s="113">
        <v>-1600000</v>
      </c>
      <c r="AK201" s="99">
        <v>1</v>
      </c>
      <c r="AL201" s="20">
        <f t="shared" si="62"/>
        <v>110</v>
      </c>
      <c r="AM201" s="117">
        <f t="shared" si="63"/>
        <v>-176000000</v>
      </c>
      <c r="AN201" s="20"/>
      <c r="AQ201" t="s">
        <v>25</v>
      </c>
    </row>
    <row r="202" spans="15:45">
      <c r="P202" s="114"/>
      <c r="Q202" s="168" t="s">
        <v>4437</v>
      </c>
      <c r="R202" s="56">
        <v>1676569</v>
      </c>
      <c r="S202" s="113">
        <f>R202*$T$367</f>
        <v>1060693515.4059085</v>
      </c>
      <c r="T202" s="168"/>
      <c r="U202" s="213">
        <f>$Q$199*$T$199*S202/$R$228</f>
        <v>332.56371974684009</v>
      </c>
      <c r="V202" s="95">
        <f t="shared" ref="V202:V203" si="64">S202+U202</f>
        <v>1060693847.9696282</v>
      </c>
      <c r="W202" s="99">
        <f>R202*100/U364</f>
        <v>44.341829299578684</v>
      </c>
      <c r="X202" s="115"/>
      <c r="AH202" s="99">
        <v>182</v>
      </c>
      <c r="AI202" s="113" t="s">
        <v>5305</v>
      </c>
      <c r="AJ202" s="113">
        <v>-800000</v>
      </c>
      <c r="AK202" s="99">
        <v>7</v>
      </c>
      <c r="AL202" s="20">
        <f t="shared" si="62"/>
        <v>109</v>
      </c>
      <c r="AM202" s="117">
        <f t="shared" si="63"/>
        <v>-87200000</v>
      </c>
      <c r="AN202" s="20"/>
    </row>
    <row r="203" spans="15:45">
      <c r="P203" s="114"/>
      <c r="Q203" s="168" t="s">
        <v>4436</v>
      </c>
      <c r="R203" s="56">
        <v>50368</v>
      </c>
      <c r="S203" s="113">
        <f>R203*$T$367</f>
        <v>31865679.840176456</v>
      </c>
      <c r="T203" s="168"/>
      <c r="U203" s="213">
        <f>$Q$199*$T$199*S203/$R$228</f>
        <v>9.9909812457517955</v>
      </c>
      <c r="V203" s="95">
        <f t="shared" si="64"/>
        <v>31865689.831157703</v>
      </c>
      <c r="W203" s="99">
        <f>R203*100/U364</f>
        <v>1.3321308327669061</v>
      </c>
      <c r="X203" s="115"/>
      <c r="AH203" s="99">
        <v>183</v>
      </c>
      <c r="AI203" s="113" t="s">
        <v>5316</v>
      </c>
      <c r="AJ203" s="113">
        <v>50000</v>
      </c>
      <c r="AK203" s="99">
        <v>2</v>
      </c>
      <c r="AL203" s="20">
        <f t="shared" si="62"/>
        <v>102</v>
      </c>
      <c r="AM203" s="117">
        <f t="shared" si="63"/>
        <v>5100000</v>
      </c>
      <c r="AN203" s="20"/>
    </row>
    <row r="204" spans="15:45">
      <c r="Q204" s="168" t="s">
        <v>1084</v>
      </c>
      <c r="R204" s="56">
        <v>301340</v>
      </c>
      <c r="S204" s="113">
        <f>R204*$T$367</f>
        <v>190644932.5571548</v>
      </c>
      <c r="T204" s="168"/>
      <c r="U204" s="213">
        <f>$Q$199*$T$199*S204/$R$228</f>
        <v>59.773711257045065</v>
      </c>
      <c r="V204" s="95">
        <f>S204+U204</f>
        <v>190644992.33086607</v>
      </c>
      <c r="W204" s="99">
        <f>R204*100/U364</f>
        <v>7.9698281676060097</v>
      </c>
      <c r="X204" s="115"/>
      <c r="AH204" s="99">
        <v>184</v>
      </c>
      <c r="AI204" s="113" t="s">
        <v>5319</v>
      </c>
      <c r="AJ204" s="113">
        <v>400000</v>
      </c>
      <c r="AK204" s="99">
        <v>8</v>
      </c>
      <c r="AL204" s="20">
        <f t="shared" ref="AL204:AL213" si="65">AL205+AK204</f>
        <v>100</v>
      </c>
      <c r="AM204" s="117">
        <f t="shared" ref="AM204:AM213" si="66">AJ204*AL204</f>
        <v>40000000</v>
      </c>
      <c r="AN204" s="20"/>
      <c r="AR204" t="s">
        <v>25</v>
      </c>
    </row>
    <row r="205" spans="15:45">
      <c r="Q205" s="168"/>
      <c r="R205" s="56"/>
      <c r="S205" s="168"/>
      <c r="T205" s="168"/>
      <c r="U205" s="168"/>
      <c r="V205" s="168"/>
      <c r="W205" s="99"/>
      <c r="X205" s="96"/>
      <c r="AH205" s="99">
        <v>185</v>
      </c>
      <c r="AI205" s="113" t="s">
        <v>5283</v>
      </c>
      <c r="AJ205" s="113">
        <v>-10000000</v>
      </c>
      <c r="AK205" s="99">
        <v>0</v>
      </c>
      <c r="AL205" s="20">
        <f t="shared" si="65"/>
        <v>92</v>
      </c>
      <c r="AM205" s="117">
        <f t="shared" si="66"/>
        <v>-920000000</v>
      </c>
      <c r="AN205" s="20" t="s">
        <v>5083</v>
      </c>
    </row>
    <row r="206" spans="15:45">
      <c r="P206" s="114"/>
      <c r="Q206" s="168"/>
      <c r="R206" s="168"/>
      <c r="S206" s="168"/>
      <c r="T206" s="168"/>
      <c r="U206" s="168"/>
      <c r="V206" s="168"/>
      <c r="W206" s="99"/>
      <c r="X206" s="96"/>
      <c r="AH206" s="99">
        <v>186</v>
      </c>
      <c r="AI206" s="113" t="s">
        <v>5283</v>
      </c>
      <c r="AJ206" s="113">
        <v>3000000</v>
      </c>
      <c r="AK206" s="99">
        <v>1</v>
      </c>
      <c r="AL206" s="20">
        <f t="shared" si="65"/>
        <v>92</v>
      </c>
      <c r="AM206" s="117">
        <f t="shared" si="66"/>
        <v>276000000</v>
      </c>
      <c r="AN206" s="20"/>
    </row>
    <row r="207" spans="15:45">
      <c r="P207" s="114"/>
      <c r="Q207" s="99"/>
      <c r="R207" s="99"/>
      <c r="S207" s="99"/>
      <c r="T207" s="99" t="s">
        <v>25</v>
      </c>
      <c r="U207" s="99"/>
      <c r="V207" s="99"/>
      <c r="W207" s="99"/>
      <c r="X207" s="96"/>
      <c r="AH207" s="99">
        <v>187</v>
      </c>
      <c r="AI207" s="113" t="s">
        <v>5338</v>
      </c>
      <c r="AJ207" s="113">
        <v>500000</v>
      </c>
      <c r="AK207" s="99">
        <v>23</v>
      </c>
      <c r="AL207" s="20">
        <f t="shared" si="65"/>
        <v>91</v>
      </c>
      <c r="AM207" s="117">
        <f t="shared" si="66"/>
        <v>45500000</v>
      </c>
      <c r="AN207" s="20"/>
      <c r="AR207" t="s">
        <v>25</v>
      </c>
    </row>
    <row r="208" spans="15:45">
      <c r="Q208" s="99"/>
      <c r="R208" s="99"/>
      <c r="S208" s="99"/>
      <c r="T208" s="99"/>
      <c r="U208" s="99"/>
      <c r="V208" s="99"/>
      <c r="W208" s="99"/>
      <c r="X208" s="96"/>
      <c r="AH208" s="99">
        <v>188</v>
      </c>
      <c r="AI208" s="113" t="s">
        <v>5363</v>
      </c>
      <c r="AJ208" s="113">
        <v>101268</v>
      </c>
      <c r="AK208" s="99">
        <v>1</v>
      </c>
      <c r="AL208" s="20">
        <f t="shared" si="65"/>
        <v>68</v>
      </c>
      <c r="AM208" s="117">
        <f t="shared" si="66"/>
        <v>6886224</v>
      </c>
      <c r="AN208" s="20"/>
      <c r="AR208" t="s">
        <v>25</v>
      </c>
    </row>
    <row r="209" spans="16:46">
      <c r="P209" s="114"/>
      <c r="Q209" s="99"/>
      <c r="R209" s="99"/>
      <c r="S209" s="99"/>
      <c r="T209" s="99"/>
      <c r="U209" s="99"/>
      <c r="V209" s="99"/>
      <c r="W209" s="99"/>
      <c r="X209" s="96"/>
      <c r="AH209" s="99">
        <v>189</v>
      </c>
      <c r="AI209" s="113" t="s">
        <v>5366</v>
      </c>
      <c r="AJ209" s="113">
        <v>101000</v>
      </c>
      <c r="AK209" s="99">
        <v>34</v>
      </c>
      <c r="AL209" s="20">
        <f t="shared" si="65"/>
        <v>67</v>
      </c>
      <c r="AM209" s="117">
        <f t="shared" si="66"/>
        <v>6767000</v>
      </c>
      <c r="AN209" s="20"/>
      <c r="AP209" t="s">
        <v>25</v>
      </c>
      <c r="AT209" s="96" t="s">
        <v>25</v>
      </c>
    </row>
    <row r="210" spans="16:46">
      <c r="P210" s="114"/>
      <c r="Q210" s="96"/>
      <c r="R210" s="96"/>
      <c r="S210" s="96"/>
      <c r="T210" s="96"/>
      <c r="V210" s="96"/>
      <c r="X210" s="115"/>
      <c r="Z210" t="s">
        <v>25</v>
      </c>
      <c r="AH210" s="99">
        <v>190</v>
      </c>
      <c r="AI210" s="113" t="s">
        <v>5394</v>
      </c>
      <c r="AJ210" s="113">
        <v>-488602</v>
      </c>
      <c r="AK210" s="99">
        <v>5</v>
      </c>
      <c r="AL210" s="20">
        <f t="shared" si="65"/>
        <v>33</v>
      </c>
      <c r="AM210" s="117">
        <f t="shared" si="66"/>
        <v>-16123866</v>
      </c>
      <c r="AN210" s="20"/>
      <c r="AR210" t="s">
        <v>25</v>
      </c>
    </row>
    <row r="211" spans="16:46">
      <c r="Q211" s="99" t="s">
        <v>5025</v>
      </c>
      <c r="R211" s="95">
        <f>S201-R216</f>
        <v>263542176.0967598</v>
      </c>
      <c r="S211" s="96"/>
      <c r="T211" s="96"/>
      <c r="V211" s="96"/>
      <c r="AH211" s="99">
        <v>191</v>
      </c>
      <c r="AI211" s="113" t="s">
        <v>5408</v>
      </c>
      <c r="AJ211" s="113">
        <v>360000</v>
      </c>
      <c r="AK211" s="99">
        <v>10</v>
      </c>
      <c r="AL211" s="20">
        <f t="shared" si="65"/>
        <v>28</v>
      </c>
      <c r="AM211" s="117">
        <f t="shared" si="66"/>
        <v>10080000</v>
      </c>
      <c r="AN211" s="20"/>
      <c r="AR211" t="s">
        <v>25</v>
      </c>
    </row>
    <row r="212" spans="16:46">
      <c r="P212" s="114"/>
      <c r="Q212" s="99" t="s">
        <v>5026</v>
      </c>
      <c r="R212" s="95">
        <f>S204+S203-R217</f>
        <v>15238699.397331297</v>
      </c>
      <c r="S212" s="96"/>
      <c r="T212" s="96" t="s">
        <v>25</v>
      </c>
      <c r="V212" s="96"/>
      <c r="AH212" s="99">
        <v>192</v>
      </c>
      <c r="AI212" s="113" t="s">
        <v>5423</v>
      </c>
      <c r="AJ212" s="113">
        <v>-3600000</v>
      </c>
      <c r="AK212" s="99">
        <v>4</v>
      </c>
      <c r="AL212" s="20">
        <f t="shared" si="65"/>
        <v>18</v>
      </c>
      <c r="AM212" s="117">
        <f t="shared" si="66"/>
        <v>-64800000</v>
      </c>
      <c r="AN212" s="20"/>
      <c r="AS212" t="s">
        <v>25</v>
      </c>
    </row>
    <row r="213" spans="16:46">
      <c r="Q213" s="96"/>
      <c r="R213" s="96"/>
      <c r="S213" s="96"/>
      <c r="T213" s="96"/>
      <c r="V213" s="96"/>
      <c r="AH213" s="99">
        <v>193</v>
      </c>
      <c r="AI213" s="113" t="s">
        <v>5434</v>
      </c>
      <c r="AJ213" s="113">
        <v>-1000000</v>
      </c>
      <c r="AK213" s="99">
        <v>5</v>
      </c>
      <c r="AL213" s="20">
        <f t="shared" si="65"/>
        <v>14</v>
      </c>
      <c r="AM213" s="117">
        <f t="shared" si="66"/>
        <v>-14000000</v>
      </c>
      <c r="AN213" s="20"/>
      <c r="AR213" t="s">
        <v>25</v>
      </c>
    </row>
    <row r="214" spans="16:46">
      <c r="Q214" s="96"/>
      <c r="R214" s="96"/>
      <c r="S214" s="96"/>
      <c r="T214" s="99" t="s">
        <v>180</v>
      </c>
      <c r="U214" s="99" t="s">
        <v>4470</v>
      </c>
      <c r="V214" s="99" t="s">
        <v>4471</v>
      </c>
      <c r="W214" s="99" t="s">
        <v>4481</v>
      </c>
      <c r="X214" s="99" t="s">
        <v>8</v>
      </c>
      <c r="AH214" s="99">
        <v>194</v>
      </c>
      <c r="AI214" s="113" t="s">
        <v>5443</v>
      </c>
      <c r="AJ214" s="113">
        <v>360000</v>
      </c>
      <c r="AK214" s="99">
        <v>2</v>
      </c>
      <c r="AL214" s="20">
        <f t="shared" ref="AL214:AL221" si="67">AL215+AK214</f>
        <v>9</v>
      </c>
      <c r="AM214" s="117">
        <f t="shared" ref="AM214:AM221" si="68">AJ214*AL214</f>
        <v>3240000</v>
      </c>
      <c r="AN214" s="20"/>
      <c r="AQ214" t="s">
        <v>25</v>
      </c>
    </row>
    <row r="215" spans="16:46">
      <c r="Q215" s="36" t="s">
        <v>4556</v>
      </c>
      <c r="R215" s="95">
        <f>SUM(N43:N51)</f>
        <v>1336751048.8999999</v>
      </c>
      <c r="T215" s="113" t="s">
        <v>4447</v>
      </c>
      <c r="U215" s="56">
        <v>1000000</v>
      </c>
      <c r="V215" s="113">
        <v>239.024</v>
      </c>
      <c r="W215" s="113">
        <f t="shared" ref="W215:W316" si="69">U215*V215</f>
        <v>239024000</v>
      </c>
      <c r="X215" s="99"/>
      <c r="AH215" s="99">
        <v>195</v>
      </c>
      <c r="AI215" s="113" t="s">
        <v>5449</v>
      </c>
      <c r="AJ215" s="113">
        <v>2000000</v>
      </c>
      <c r="AK215" s="99">
        <v>1</v>
      </c>
      <c r="AL215" s="20">
        <f t="shared" si="67"/>
        <v>7</v>
      </c>
      <c r="AM215" s="117">
        <f t="shared" si="68"/>
        <v>14000000</v>
      </c>
      <c r="AN215" s="20"/>
    </row>
    <row r="216" spans="16:46">
      <c r="P216" s="114"/>
      <c r="Q216" s="99" t="s">
        <v>4438</v>
      </c>
      <c r="R216" s="95">
        <f>SUM(N21:N24)</f>
        <v>845337045.29999995</v>
      </c>
      <c r="T216" s="168" t="s">
        <v>4429</v>
      </c>
      <c r="U216" s="56">
        <v>5904</v>
      </c>
      <c r="V216" s="113">
        <v>237.148</v>
      </c>
      <c r="W216" s="113">
        <f t="shared" si="69"/>
        <v>1400121.7919999999</v>
      </c>
      <c r="X216" s="99" t="s">
        <v>750</v>
      </c>
      <c r="AH216" s="99">
        <v>196</v>
      </c>
      <c r="AI216" s="113" t="s">
        <v>5457</v>
      </c>
      <c r="AJ216" s="113">
        <v>20000000</v>
      </c>
      <c r="AK216" s="99">
        <v>0</v>
      </c>
      <c r="AL216" s="20">
        <f t="shared" si="67"/>
        <v>6</v>
      </c>
      <c r="AM216" s="117">
        <f t="shared" si="68"/>
        <v>120000000</v>
      </c>
      <c r="AN216" s="20" t="s">
        <v>4742</v>
      </c>
      <c r="AR216" t="s">
        <v>25</v>
      </c>
    </row>
    <row r="217" spans="16:46">
      <c r="P217" s="114"/>
      <c r="Q217" s="99" t="s">
        <v>4439</v>
      </c>
      <c r="R217" s="95">
        <f>SUM(N27:N30)</f>
        <v>207271912.99999997</v>
      </c>
      <c r="T217" s="168" t="s">
        <v>4223</v>
      </c>
      <c r="U217" s="168">
        <v>1000</v>
      </c>
      <c r="V217" s="113">
        <v>247.393</v>
      </c>
      <c r="W217" s="113">
        <f t="shared" si="69"/>
        <v>247393</v>
      </c>
      <c r="X217" s="99" t="s">
        <v>750</v>
      </c>
      <c r="AH217" s="99">
        <v>197</v>
      </c>
      <c r="AI217" s="113" t="s">
        <v>5457</v>
      </c>
      <c r="AJ217" s="113">
        <v>-4700000</v>
      </c>
      <c r="AK217" s="99">
        <v>1</v>
      </c>
      <c r="AL217" s="20">
        <f t="shared" si="67"/>
        <v>6</v>
      </c>
      <c r="AM217" s="117">
        <f t="shared" si="68"/>
        <v>-28200000</v>
      </c>
      <c r="AN217" s="20"/>
    </row>
    <row r="218" spans="16:46">
      <c r="P218" s="114"/>
      <c r="Q218" s="99" t="s">
        <v>4440</v>
      </c>
      <c r="R218" s="95">
        <f>N41</f>
        <v>467</v>
      </c>
      <c r="T218" s="168" t="s">
        <v>4482</v>
      </c>
      <c r="U218" s="168">
        <v>8071</v>
      </c>
      <c r="V218" s="113">
        <v>247.797</v>
      </c>
      <c r="W218" s="113">
        <f t="shared" si="69"/>
        <v>1999969.5870000001</v>
      </c>
      <c r="X218" s="99" t="s">
        <v>4436</v>
      </c>
      <c r="AH218" s="99">
        <v>198</v>
      </c>
      <c r="AI218" s="113" t="s">
        <v>5466</v>
      </c>
      <c r="AJ218" s="113">
        <v>3000000</v>
      </c>
      <c r="AK218" s="99">
        <v>4</v>
      </c>
      <c r="AL218" s="20">
        <f t="shared" si="67"/>
        <v>5</v>
      </c>
      <c r="AM218" s="117">
        <f t="shared" si="68"/>
        <v>15000000</v>
      </c>
      <c r="AN218" s="20"/>
      <c r="AS218" t="s">
        <v>25</v>
      </c>
    </row>
    <row r="219" spans="16:46">
      <c r="P219" s="114"/>
      <c r="Q219" s="99" t="s">
        <v>4441</v>
      </c>
      <c r="R219" s="95">
        <f>N20</f>
        <v>960</v>
      </c>
      <c r="T219" s="168" t="s">
        <v>4482</v>
      </c>
      <c r="U219" s="168">
        <v>53672</v>
      </c>
      <c r="V219" s="113">
        <v>247.797</v>
      </c>
      <c r="W219" s="113">
        <f t="shared" si="69"/>
        <v>13299760.584000001</v>
      </c>
      <c r="X219" s="99" t="s">
        <v>452</v>
      </c>
      <c r="AH219" s="99">
        <v>199</v>
      </c>
      <c r="AI219" s="113" t="s">
        <v>5477</v>
      </c>
      <c r="AJ219" s="113">
        <v>1500000</v>
      </c>
      <c r="AK219" s="99">
        <v>1</v>
      </c>
      <c r="AL219" s="20">
        <f t="shared" si="67"/>
        <v>1</v>
      </c>
      <c r="AM219" s="117">
        <f t="shared" si="68"/>
        <v>1500000</v>
      </c>
      <c r="AN219" s="20"/>
    </row>
    <row r="220" spans="16:46">
      <c r="P220" s="114"/>
      <c r="Q220" s="99" t="s">
        <v>4442</v>
      </c>
      <c r="R220" s="95">
        <f>N26</f>
        <v>12</v>
      </c>
      <c r="T220" s="168" t="s">
        <v>4490</v>
      </c>
      <c r="U220" s="168">
        <v>4099</v>
      </c>
      <c r="V220" s="113">
        <v>243.93</v>
      </c>
      <c r="W220" s="113">
        <f t="shared" si="69"/>
        <v>999869.07000000007</v>
      </c>
      <c r="X220" s="99" t="s">
        <v>4436</v>
      </c>
      <c r="AH220" s="99"/>
      <c r="AI220" s="113"/>
      <c r="AJ220" s="113"/>
      <c r="AK220" s="99"/>
      <c r="AL220" s="20">
        <f t="shared" si="67"/>
        <v>0</v>
      </c>
      <c r="AM220" s="117">
        <f t="shared" si="68"/>
        <v>0</v>
      </c>
      <c r="AN220" s="20"/>
    </row>
    <row r="221" spans="16:46">
      <c r="P221" s="114"/>
      <c r="Q221" s="99" t="s">
        <v>5299</v>
      </c>
      <c r="R221" s="95">
        <v>0</v>
      </c>
      <c r="T221" s="168" t="s">
        <v>4490</v>
      </c>
      <c r="U221" s="168">
        <v>9301</v>
      </c>
      <c r="V221" s="113">
        <v>243.93</v>
      </c>
      <c r="W221" s="113">
        <f t="shared" si="69"/>
        <v>2268792.9300000002</v>
      </c>
      <c r="X221" s="99" t="s">
        <v>452</v>
      </c>
      <c r="AH221" s="99"/>
      <c r="AI221" s="113"/>
      <c r="AJ221" s="113"/>
      <c r="AK221" s="99"/>
      <c r="AL221" s="20">
        <f t="shared" si="67"/>
        <v>0</v>
      </c>
      <c r="AM221" s="117">
        <f t="shared" si="68"/>
        <v>0</v>
      </c>
      <c r="AN221" s="20"/>
    </row>
    <row r="222" spans="16:46">
      <c r="P222" s="114"/>
      <c r="Q222" s="99" t="s">
        <v>5481</v>
      </c>
      <c r="R222" s="95">
        <v>2721903</v>
      </c>
      <c r="T222" s="168" t="s">
        <v>4496</v>
      </c>
      <c r="U222" s="168">
        <v>8334</v>
      </c>
      <c r="V222" s="113">
        <v>239.97</v>
      </c>
      <c r="W222" s="113">
        <f t="shared" si="69"/>
        <v>1999909.98</v>
      </c>
      <c r="X222" s="99" t="s">
        <v>4436</v>
      </c>
      <c r="AH222" s="99"/>
      <c r="AI222" s="113"/>
      <c r="AJ222" s="113"/>
      <c r="AK222" s="99"/>
      <c r="AL222" s="20">
        <f t="shared" si="60"/>
        <v>0</v>
      </c>
      <c r="AM222" s="117">
        <f t="shared" si="61"/>
        <v>0</v>
      </c>
      <c r="AN222" s="20"/>
    </row>
    <row r="223" spans="16:46">
      <c r="Q223" s="99" t="s">
        <v>5193</v>
      </c>
      <c r="R223" s="95">
        <v>0</v>
      </c>
      <c r="T223" s="168" t="s">
        <v>4222</v>
      </c>
      <c r="U223" s="168">
        <v>29041</v>
      </c>
      <c r="V223" s="113">
        <v>233.45</v>
      </c>
      <c r="W223" s="113">
        <f t="shared" si="69"/>
        <v>6779621.4499999993</v>
      </c>
      <c r="X223" s="99" t="s">
        <v>750</v>
      </c>
      <c r="AH223" s="99"/>
      <c r="AI223" s="99"/>
      <c r="AJ223" s="95">
        <f>SUM(AJ20:AJ222)</f>
        <v>508463725</v>
      </c>
      <c r="AK223" s="99"/>
      <c r="AL223" s="99"/>
      <c r="AM223" s="95">
        <f>SUM(AM20:AM222)</f>
        <v>222393340108</v>
      </c>
      <c r="AN223" s="95">
        <f>AM223*AN226/31</f>
        <v>119568703.21225923</v>
      </c>
    </row>
    <row r="224" spans="16:46">
      <c r="Q224" s="99"/>
      <c r="R224" s="95"/>
      <c r="S224" s="115"/>
      <c r="T224" s="168" t="s">
        <v>992</v>
      </c>
      <c r="U224" s="168">
        <v>12337</v>
      </c>
      <c r="V224" s="113">
        <v>243.16300000000001</v>
      </c>
      <c r="W224" s="113">
        <f t="shared" si="69"/>
        <v>2999901.9310000003</v>
      </c>
      <c r="X224" s="99" t="s">
        <v>4436</v>
      </c>
      <c r="Z224" t="s">
        <v>25</v>
      </c>
      <c r="AH224" s="99"/>
      <c r="AI224" s="99"/>
      <c r="AJ224" s="99" t="s">
        <v>4056</v>
      </c>
      <c r="AK224" s="99"/>
      <c r="AL224" s="99"/>
      <c r="AM224" s="99" t="s">
        <v>284</v>
      </c>
      <c r="AN224" s="99" t="s">
        <v>941</v>
      </c>
    </row>
    <row r="225" spans="17:44">
      <c r="Q225" s="99"/>
      <c r="R225" s="95"/>
      <c r="S225" s="122"/>
      <c r="T225" s="168" t="s">
        <v>4577</v>
      </c>
      <c r="U225" s="168">
        <v>-16118</v>
      </c>
      <c r="V225" s="113">
        <v>248.17</v>
      </c>
      <c r="W225" s="113">
        <f t="shared" si="69"/>
        <v>-4000004.0599999996</v>
      </c>
      <c r="X225" s="99" t="s">
        <v>750</v>
      </c>
      <c r="AH225" s="99"/>
      <c r="AI225" s="99"/>
      <c r="AJ225" s="99"/>
      <c r="AK225" s="99"/>
      <c r="AL225" s="99"/>
      <c r="AM225" s="99"/>
      <c r="AN225" s="99"/>
    </row>
    <row r="226" spans="17:44">
      <c r="Q226" s="99"/>
      <c r="R226" s="95"/>
      <c r="S226" s="115"/>
      <c r="T226" s="168" t="s">
        <v>4605</v>
      </c>
      <c r="U226" s="168">
        <v>101681</v>
      </c>
      <c r="V226" s="113">
        <v>246.5711</v>
      </c>
      <c r="W226" s="113">
        <f t="shared" si="69"/>
        <v>25071596.019099999</v>
      </c>
      <c r="X226" s="99" t="s">
        <v>452</v>
      </c>
      <c r="Y226" t="s">
        <v>25</v>
      </c>
      <c r="AH226" s="99"/>
      <c r="AI226" s="99"/>
      <c r="AJ226" s="99"/>
      <c r="AK226" s="99"/>
      <c r="AL226" s="99"/>
      <c r="AM226" s="99" t="s">
        <v>4057</v>
      </c>
      <c r="AN226" s="99">
        <v>1.6667000000000001E-2</v>
      </c>
    </row>
    <row r="227" spans="17:44">
      <c r="Q227" s="99" t="s">
        <v>5194</v>
      </c>
      <c r="R227" s="95">
        <v>0</v>
      </c>
      <c r="S227" s="115"/>
      <c r="T227" s="168" t="s">
        <v>4609</v>
      </c>
      <c r="U227" s="168">
        <v>66606</v>
      </c>
      <c r="V227" s="113">
        <v>251.131</v>
      </c>
      <c r="W227" s="113">
        <f t="shared" si="69"/>
        <v>16726831.386</v>
      </c>
      <c r="X227" s="99" t="s">
        <v>750</v>
      </c>
      <c r="AH227" s="99"/>
      <c r="AI227" s="99"/>
      <c r="AJ227" s="99"/>
      <c r="AK227" s="99"/>
      <c r="AL227" s="99"/>
      <c r="AM227" s="99"/>
      <c r="AN227" s="99"/>
    </row>
    <row r="228" spans="17:44">
      <c r="Q228" s="99" t="s">
        <v>4446</v>
      </c>
      <c r="R228" s="95">
        <f>SUM(R215:R227)</f>
        <v>2392083349.1999998</v>
      </c>
      <c r="T228" s="168" t="s">
        <v>4614</v>
      </c>
      <c r="U228" s="168">
        <v>172025</v>
      </c>
      <c r="V228" s="113">
        <v>245.52809999999999</v>
      </c>
      <c r="W228" s="113">
        <f t="shared" si="69"/>
        <v>42236971.402499996</v>
      </c>
      <c r="X228" s="99" t="s">
        <v>452</v>
      </c>
      <c r="Y228" s="96"/>
      <c r="AH228" s="99"/>
      <c r="AI228" s="99" t="s">
        <v>4058</v>
      </c>
      <c r="AJ228" s="95">
        <f>AJ223+AN223</f>
        <v>628032428.21225929</v>
      </c>
      <c r="AK228" s="99"/>
      <c r="AL228" s="99"/>
      <c r="AM228" s="99"/>
      <c r="AN228" s="99"/>
    </row>
    <row r="229" spans="17:44">
      <c r="Q229" s="96"/>
      <c r="T229" s="168" t="s">
        <v>4614</v>
      </c>
      <c r="U229" s="168">
        <v>189227</v>
      </c>
      <c r="V229" s="113">
        <v>245.52809999999999</v>
      </c>
      <c r="W229" s="113">
        <f t="shared" si="69"/>
        <v>46460545.778700002</v>
      </c>
      <c r="X229" s="99" t="s">
        <v>750</v>
      </c>
      <c r="Y229" t="s">
        <v>25</v>
      </c>
      <c r="AI229" t="s">
        <v>4061</v>
      </c>
      <c r="AJ229" s="114">
        <f>SUM(N41:N51)</f>
        <v>1336751515.8999999</v>
      </c>
      <c r="AM229" t="s">
        <v>25</v>
      </c>
    </row>
    <row r="230" spans="17:44">
      <c r="T230" s="168" t="s">
        <v>4615</v>
      </c>
      <c r="U230" s="168">
        <v>79720</v>
      </c>
      <c r="V230" s="113">
        <v>246.6568</v>
      </c>
      <c r="W230" s="113">
        <f t="shared" si="69"/>
        <v>19663480.096000001</v>
      </c>
      <c r="X230" s="99" t="s">
        <v>452</v>
      </c>
      <c r="AI230" t="s">
        <v>4133</v>
      </c>
      <c r="AJ230" s="114">
        <f>AJ229-AJ223</f>
        <v>828287790.89999986</v>
      </c>
      <c r="AM230" t="s">
        <v>25</v>
      </c>
      <c r="AQ230" t="s">
        <v>25</v>
      </c>
    </row>
    <row r="231" spans="17:44">
      <c r="Q231" s="99" t="s">
        <v>8</v>
      </c>
      <c r="R231" s="99" t="s">
        <v>4436</v>
      </c>
      <c r="S231" s="99"/>
      <c r="T231" s="168" t="s">
        <v>4615</v>
      </c>
      <c r="U231" s="168">
        <v>79720</v>
      </c>
      <c r="V231" s="113">
        <v>246.6568</v>
      </c>
      <c r="W231" s="113">
        <f t="shared" si="69"/>
        <v>19663480.096000001</v>
      </c>
      <c r="X231" s="99" t="s">
        <v>750</v>
      </c>
      <c r="AI231" t="s">
        <v>941</v>
      </c>
      <c r="AJ231" s="114">
        <f>AN223</f>
        <v>119568703.21225923</v>
      </c>
      <c r="AN231" t="s">
        <v>25</v>
      </c>
    </row>
    <row r="232" spans="17:44">
      <c r="Q232" s="99"/>
      <c r="R232" s="36" t="s">
        <v>180</v>
      </c>
      <c r="S232" s="99" t="s">
        <v>267</v>
      </c>
      <c r="T232" s="168" t="s">
        <v>4638</v>
      </c>
      <c r="U232" s="168">
        <v>17769</v>
      </c>
      <c r="V232" s="113">
        <v>246.17877999999999</v>
      </c>
      <c r="W232" s="113">
        <f t="shared" si="69"/>
        <v>4374350.7418200001</v>
      </c>
      <c r="X232" s="99" t="s">
        <v>750</v>
      </c>
      <c r="AI232" t="s">
        <v>4062</v>
      </c>
      <c r="AJ232" s="114">
        <f>AJ229-AJ228</f>
        <v>708719087.68774056</v>
      </c>
      <c r="AN232" t="s">
        <v>25</v>
      </c>
    </row>
    <row r="233" spans="17:44">
      <c r="Q233" s="99"/>
      <c r="R233" s="99" t="s">
        <v>4429</v>
      </c>
      <c r="S233" s="95">
        <v>3000000</v>
      </c>
      <c r="T233" s="168" t="s">
        <v>4638</v>
      </c>
      <c r="U233" s="168">
        <v>17769</v>
      </c>
      <c r="V233" s="113">
        <v>246.17877999999999</v>
      </c>
      <c r="W233" s="113">
        <f t="shared" si="69"/>
        <v>4374350.7418200001</v>
      </c>
      <c r="X233" s="99" t="s">
        <v>452</v>
      </c>
      <c r="Y233" t="s">
        <v>25</v>
      </c>
      <c r="AM233" t="s">
        <v>25</v>
      </c>
    </row>
    <row r="234" spans="17:44">
      <c r="Q234" s="99"/>
      <c r="R234" s="99" t="s">
        <v>4482</v>
      </c>
      <c r="S234" s="95">
        <v>2000000</v>
      </c>
      <c r="T234" s="168" t="s">
        <v>4641</v>
      </c>
      <c r="U234" s="168">
        <v>12438</v>
      </c>
      <c r="V234" s="113">
        <v>241.20465999999999</v>
      </c>
      <c r="W234" s="113">
        <f t="shared" si="69"/>
        <v>3000103.5610799999</v>
      </c>
      <c r="X234" s="99" t="s">
        <v>4436</v>
      </c>
      <c r="AJ234" t="s">
        <v>25</v>
      </c>
    </row>
    <row r="235" spans="17:44">
      <c r="Q235" s="99"/>
      <c r="R235" s="99" t="s">
        <v>4490</v>
      </c>
      <c r="S235" s="95">
        <v>1000000</v>
      </c>
      <c r="T235" s="168" t="s">
        <v>4650</v>
      </c>
      <c r="U235" s="168">
        <v>27363</v>
      </c>
      <c r="V235" s="113">
        <v>239.3886</v>
      </c>
      <c r="W235" s="113">
        <f t="shared" si="69"/>
        <v>6550390.2617999995</v>
      </c>
      <c r="X235" s="99" t="s">
        <v>750</v>
      </c>
      <c r="Z235" t="s">
        <v>25</v>
      </c>
      <c r="AA235" t="s">
        <v>25</v>
      </c>
    </row>
    <row r="236" spans="17:44">
      <c r="Q236" s="99"/>
      <c r="R236" s="99" t="s">
        <v>4496</v>
      </c>
      <c r="S236" s="95">
        <v>2000000</v>
      </c>
      <c r="T236" s="168" t="s">
        <v>4650</v>
      </c>
      <c r="U236" s="168">
        <v>27363</v>
      </c>
      <c r="V236" s="113">
        <v>239.3886</v>
      </c>
      <c r="W236" s="113">
        <f t="shared" si="69"/>
        <v>6550390.2617999995</v>
      </c>
      <c r="X236" s="99" t="s">
        <v>452</v>
      </c>
    </row>
    <row r="237" spans="17:44">
      <c r="Q237" s="99"/>
      <c r="R237" s="99" t="s">
        <v>992</v>
      </c>
      <c r="S237" s="95">
        <v>3000000</v>
      </c>
      <c r="T237" s="210" t="s">
        <v>4652</v>
      </c>
      <c r="U237" s="210">
        <v>27437</v>
      </c>
      <c r="V237" s="113">
        <v>242.4015</v>
      </c>
      <c r="W237" s="113">
        <f t="shared" si="69"/>
        <v>6650769.9555000002</v>
      </c>
      <c r="X237" s="99" t="s">
        <v>750</v>
      </c>
      <c r="Y237" t="s">
        <v>25</v>
      </c>
    </row>
    <row r="238" spans="17:44">
      <c r="Q238" s="99"/>
      <c r="R238" s="99" t="s">
        <v>4641</v>
      </c>
      <c r="S238" s="95">
        <v>3000000</v>
      </c>
      <c r="T238" s="210" t="s">
        <v>4652</v>
      </c>
      <c r="U238" s="210">
        <v>29104</v>
      </c>
      <c r="V238" s="113">
        <v>242.4015</v>
      </c>
      <c r="W238" s="113">
        <f t="shared" si="69"/>
        <v>7054853.2560000001</v>
      </c>
      <c r="X238" s="99" t="s">
        <v>452</v>
      </c>
      <c r="AR238" t="s">
        <v>25</v>
      </c>
    </row>
    <row r="239" spans="17:44">
      <c r="Q239" s="99" t="s">
        <v>4822</v>
      </c>
      <c r="R239" s="99" t="s">
        <v>4817</v>
      </c>
      <c r="S239" s="95">
        <v>-800000</v>
      </c>
      <c r="T239" s="213" t="s">
        <v>4672</v>
      </c>
      <c r="U239" s="213">
        <v>8991</v>
      </c>
      <c r="V239" s="113">
        <v>238.64867000000001</v>
      </c>
      <c r="W239" s="113">
        <f t="shared" si="69"/>
        <v>2145690.19197</v>
      </c>
      <c r="X239" s="99" t="s">
        <v>750</v>
      </c>
      <c r="AH239" s="99" t="s">
        <v>3638</v>
      </c>
      <c r="AI239" s="99" t="s">
        <v>180</v>
      </c>
      <c r="AJ239" s="99" t="s">
        <v>267</v>
      </c>
      <c r="AK239" s="99" t="s">
        <v>4055</v>
      </c>
      <c r="AL239" s="99" t="s">
        <v>4047</v>
      </c>
      <c r="AM239" s="99" t="s">
        <v>282</v>
      </c>
      <c r="AN239" s="99" t="s">
        <v>4284</v>
      </c>
      <c r="AR239" t="s">
        <v>25</v>
      </c>
    </row>
    <row r="240" spans="17:44">
      <c r="Q240" s="99" t="s">
        <v>4823</v>
      </c>
      <c r="R240" s="99" t="s">
        <v>4817</v>
      </c>
      <c r="S240" s="95">
        <v>-900000</v>
      </c>
      <c r="T240" s="213" t="s">
        <v>4672</v>
      </c>
      <c r="U240" s="213">
        <v>8991</v>
      </c>
      <c r="V240" s="113">
        <v>238.64867000000001</v>
      </c>
      <c r="W240" s="113">
        <f t="shared" si="69"/>
        <v>2145690.19197</v>
      </c>
      <c r="X240" s="99" t="s">
        <v>452</v>
      </c>
      <c r="AH240" s="99">
        <v>1</v>
      </c>
      <c r="AI240" s="99" t="s">
        <v>3946</v>
      </c>
      <c r="AJ240" s="117">
        <v>3555820</v>
      </c>
      <c r="AK240" s="99">
        <v>2</v>
      </c>
      <c r="AL240" s="99">
        <f>AK240+AL241</f>
        <v>561</v>
      </c>
      <c r="AM240" s="99">
        <f>AJ240*AL240</f>
        <v>1994815020</v>
      </c>
      <c r="AN240" s="99" t="s">
        <v>4304</v>
      </c>
    </row>
    <row r="241" spans="15:43">
      <c r="Q241" s="99" t="s">
        <v>4823</v>
      </c>
      <c r="R241" s="99" t="s">
        <v>979</v>
      </c>
      <c r="S241" s="95">
        <v>-1100000</v>
      </c>
      <c r="T241" s="213" t="s">
        <v>4683</v>
      </c>
      <c r="U241" s="213">
        <v>18170</v>
      </c>
      <c r="V241" s="113">
        <v>240.48475999999999</v>
      </c>
      <c r="W241" s="113">
        <f t="shared" si="69"/>
        <v>4369608.0892000003</v>
      </c>
      <c r="X241" s="99" t="s">
        <v>750</v>
      </c>
      <c r="AH241" s="99">
        <v>2</v>
      </c>
      <c r="AI241" s="99" t="s">
        <v>4021</v>
      </c>
      <c r="AJ241" s="117">
        <v>1720837</v>
      </c>
      <c r="AK241" s="99">
        <v>51</v>
      </c>
      <c r="AL241" s="99">
        <f t="shared" ref="AL241:AL250" si="70">AK241+AL242</f>
        <v>559</v>
      </c>
      <c r="AM241" s="99">
        <f t="shared" ref="AM241:AM269" si="71">AJ241*AL241</f>
        <v>961947883</v>
      </c>
      <c r="AN241" s="99" t="s">
        <v>4305</v>
      </c>
    </row>
    <row r="242" spans="15:43">
      <c r="Q242" s="195" t="s">
        <v>1084</v>
      </c>
      <c r="R242" s="195" t="s">
        <v>4846</v>
      </c>
      <c r="S242" s="241">
        <v>30000000</v>
      </c>
      <c r="T242" s="213" t="s">
        <v>4683</v>
      </c>
      <c r="U242" s="213">
        <v>18170</v>
      </c>
      <c r="V242" s="113">
        <v>240.48475999999999</v>
      </c>
      <c r="W242" s="113">
        <f t="shared" si="69"/>
        <v>4369608.0892000003</v>
      </c>
      <c r="X242" s="99" t="s">
        <v>452</v>
      </c>
      <c r="AH242" s="99">
        <v>3</v>
      </c>
      <c r="AI242" s="99" t="s">
        <v>4127</v>
      </c>
      <c r="AJ242" s="117">
        <v>150000</v>
      </c>
      <c r="AK242" s="99">
        <v>3</v>
      </c>
      <c r="AL242" s="99">
        <f t="shared" si="70"/>
        <v>508</v>
      </c>
      <c r="AM242" s="99">
        <f t="shared" si="71"/>
        <v>76200000</v>
      </c>
      <c r="AN242" s="99"/>
    </row>
    <row r="243" spans="15:43">
      <c r="Q243" s="20" t="s">
        <v>4930</v>
      </c>
      <c r="R243" s="20" t="s">
        <v>4928</v>
      </c>
      <c r="S243" s="246">
        <v>2000000</v>
      </c>
      <c r="T243" s="213" t="s">
        <v>4685</v>
      </c>
      <c r="U243" s="213">
        <v>36797</v>
      </c>
      <c r="V243" s="113">
        <v>239.0822</v>
      </c>
      <c r="W243" s="113">
        <f t="shared" si="69"/>
        <v>8797507.7134000007</v>
      </c>
      <c r="X243" s="99" t="s">
        <v>750</v>
      </c>
      <c r="AH243" s="99">
        <v>4</v>
      </c>
      <c r="AI243" s="99" t="s">
        <v>4142</v>
      </c>
      <c r="AJ243" s="117">
        <v>-95000</v>
      </c>
      <c r="AK243" s="99">
        <v>8</v>
      </c>
      <c r="AL243" s="99">
        <f t="shared" si="70"/>
        <v>505</v>
      </c>
      <c r="AM243" s="99">
        <f t="shared" si="71"/>
        <v>-47975000</v>
      </c>
      <c r="AN243" s="99"/>
    </row>
    <row r="244" spans="15:43">
      <c r="O244" t="s">
        <v>25</v>
      </c>
      <c r="Q244" s="149" t="s">
        <v>4955</v>
      </c>
      <c r="R244" s="149" t="s">
        <v>4954</v>
      </c>
      <c r="S244" s="150">
        <v>480105</v>
      </c>
      <c r="T244" s="213" t="s">
        <v>4685</v>
      </c>
      <c r="U244" s="213">
        <v>36797</v>
      </c>
      <c r="V244" s="113">
        <v>239.0822</v>
      </c>
      <c r="W244" s="113">
        <f t="shared" si="69"/>
        <v>8797507.7134000007</v>
      </c>
      <c r="X244" s="99" t="s">
        <v>452</v>
      </c>
      <c r="AH244" s="99">
        <v>5</v>
      </c>
      <c r="AI244" s="99" t="s">
        <v>4167</v>
      </c>
      <c r="AJ244" s="117">
        <v>3150000</v>
      </c>
      <c r="AK244" s="99">
        <v>16</v>
      </c>
      <c r="AL244" s="99">
        <f t="shared" si="70"/>
        <v>497</v>
      </c>
      <c r="AM244" s="99">
        <f t="shared" si="71"/>
        <v>1565550000</v>
      </c>
      <c r="AN244" s="99"/>
    </row>
    <row r="245" spans="15:43">
      <c r="P245" t="s">
        <v>25</v>
      </c>
      <c r="Q245" s="149"/>
      <c r="R245" s="149" t="s">
        <v>5007</v>
      </c>
      <c r="S245" s="150">
        <v>30500000</v>
      </c>
      <c r="T245" s="213" t="s">
        <v>4694</v>
      </c>
      <c r="U245" s="213">
        <v>28066</v>
      </c>
      <c r="V245" s="113">
        <v>237.56970000000001</v>
      </c>
      <c r="W245" s="113">
        <f t="shared" si="69"/>
        <v>6667631.2002000008</v>
      </c>
      <c r="X245" s="99" t="s">
        <v>750</v>
      </c>
      <c r="AH245" s="99">
        <v>6</v>
      </c>
      <c r="AI245" s="99" t="s">
        <v>4232</v>
      </c>
      <c r="AJ245" s="117">
        <v>-65000</v>
      </c>
      <c r="AK245" s="99">
        <v>1</v>
      </c>
      <c r="AL245" s="99">
        <f t="shared" si="70"/>
        <v>481</v>
      </c>
      <c r="AM245" s="99">
        <f t="shared" si="71"/>
        <v>-31265000</v>
      </c>
      <c r="AN245" s="99"/>
    </row>
    <row r="246" spans="15:43">
      <c r="Q246" s="20" t="s">
        <v>5052</v>
      </c>
      <c r="R246" s="20" t="s">
        <v>5047</v>
      </c>
      <c r="S246" s="246">
        <v>-400000</v>
      </c>
      <c r="T246" s="213" t="s">
        <v>4694</v>
      </c>
      <c r="U246" s="213">
        <v>28066</v>
      </c>
      <c r="V246" s="113">
        <v>237.56970000000001</v>
      </c>
      <c r="W246" s="113">
        <f t="shared" si="69"/>
        <v>6667631.2002000008</v>
      </c>
      <c r="X246" s="99" t="s">
        <v>452</v>
      </c>
      <c r="AH246" s="99">
        <v>7</v>
      </c>
      <c r="AI246" s="99" t="s">
        <v>4306</v>
      </c>
      <c r="AJ246" s="117">
        <v>-95000</v>
      </c>
      <c r="AK246" s="99">
        <v>6</v>
      </c>
      <c r="AL246" s="99">
        <f t="shared" si="70"/>
        <v>480</v>
      </c>
      <c r="AM246" s="99">
        <f t="shared" si="71"/>
        <v>-45600000</v>
      </c>
      <c r="AN246" s="99"/>
    </row>
    <row r="247" spans="15:43">
      <c r="Q247" s="149" t="s">
        <v>5189</v>
      </c>
      <c r="R247" s="149" t="s">
        <v>5090</v>
      </c>
      <c r="S247" s="150">
        <v>-349550</v>
      </c>
      <c r="T247" s="213" t="s">
        <v>3681</v>
      </c>
      <c r="U247" s="213">
        <v>37457</v>
      </c>
      <c r="V247" s="113">
        <v>239.77</v>
      </c>
      <c r="W247" s="113">
        <f t="shared" si="69"/>
        <v>8981064.8900000006</v>
      </c>
      <c r="X247" s="99" t="s">
        <v>750</v>
      </c>
      <c r="AH247" s="99">
        <v>8</v>
      </c>
      <c r="AI247" s="99" t="s">
        <v>4307</v>
      </c>
      <c r="AJ247" s="117">
        <v>232000</v>
      </c>
      <c r="AK247" s="99">
        <v>7</v>
      </c>
      <c r="AL247" s="99">
        <f t="shared" si="70"/>
        <v>474</v>
      </c>
      <c r="AM247" s="99">
        <f t="shared" si="71"/>
        <v>109968000</v>
      </c>
      <c r="AN247" s="99"/>
    </row>
    <row r="248" spans="15:43">
      <c r="Q248" s="149" t="s">
        <v>5227</v>
      </c>
      <c r="R248" s="149" t="s">
        <v>5223</v>
      </c>
      <c r="S248" s="150">
        <v>11500000</v>
      </c>
      <c r="T248" s="213" t="s">
        <v>3681</v>
      </c>
      <c r="U248" s="213">
        <v>37457</v>
      </c>
      <c r="V248" s="113">
        <v>239.77</v>
      </c>
      <c r="W248" s="113">
        <f t="shared" si="69"/>
        <v>8981064.8900000006</v>
      </c>
      <c r="X248" s="99" t="s">
        <v>452</v>
      </c>
      <c r="AH248" s="99">
        <v>9</v>
      </c>
      <c r="AI248" s="99" t="s">
        <v>4283</v>
      </c>
      <c r="AJ248" s="117">
        <v>13000000</v>
      </c>
      <c r="AK248" s="99">
        <v>2</v>
      </c>
      <c r="AL248" s="99">
        <f t="shared" si="70"/>
        <v>467</v>
      </c>
      <c r="AM248" s="99">
        <f t="shared" si="71"/>
        <v>6071000000</v>
      </c>
      <c r="AN248" s="99"/>
    </row>
    <row r="249" spans="15:43">
      <c r="Q249" s="149" t="s">
        <v>5260</v>
      </c>
      <c r="R249" s="149" t="s">
        <v>5257</v>
      </c>
      <c r="S249" s="150">
        <v>6000000</v>
      </c>
      <c r="T249" s="213" t="s">
        <v>4707</v>
      </c>
      <c r="U249" s="213">
        <v>38412</v>
      </c>
      <c r="V249" s="113">
        <v>239.03</v>
      </c>
      <c r="W249" s="113">
        <f t="shared" si="69"/>
        <v>9181620.3599999994</v>
      </c>
      <c r="X249" s="99" t="s">
        <v>750</v>
      </c>
      <c r="AH249" s="99">
        <v>10</v>
      </c>
      <c r="AI249" s="99" t="s">
        <v>4308</v>
      </c>
      <c r="AJ249" s="117">
        <v>10000000</v>
      </c>
      <c r="AK249" s="99">
        <v>3</v>
      </c>
      <c r="AL249" s="99">
        <f t="shared" si="70"/>
        <v>465</v>
      </c>
      <c r="AM249" s="99">
        <f t="shared" si="71"/>
        <v>4650000000</v>
      </c>
      <c r="AN249" s="99"/>
      <c r="AP249" t="s">
        <v>25</v>
      </c>
    </row>
    <row r="250" spans="15:43">
      <c r="Q250" s="149" t="s">
        <v>5262</v>
      </c>
      <c r="R250" s="149" t="s">
        <v>5261</v>
      </c>
      <c r="S250" s="150">
        <v>1500000</v>
      </c>
      <c r="T250" s="213" t="s">
        <v>4707</v>
      </c>
      <c r="U250" s="213">
        <v>38412</v>
      </c>
      <c r="V250" s="113">
        <v>239.03</v>
      </c>
      <c r="W250" s="113">
        <f t="shared" si="69"/>
        <v>9181620.3599999994</v>
      </c>
      <c r="X250" s="99" t="s">
        <v>452</v>
      </c>
      <c r="Y250" t="s">
        <v>25</v>
      </c>
      <c r="AH250" s="99">
        <v>11</v>
      </c>
      <c r="AI250" s="99" t="s">
        <v>4296</v>
      </c>
      <c r="AJ250" s="117">
        <v>3400000</v>
      </c>
      <c r="AK250" s="99">
        <v>9</v>
      </c>
      <c r="AL250" s="99">
        <f t="shared" si="70"/>
        <v>462</v>
      </c>
      <c r="AM250" s="99">
        <f t="shared" si="71"/>
        <v>1570800000</v>
      </c>
      <c r="AN250" s="99"/>
    </row>
    <row r="251" spans="15:43">
      <c r="Q251" s="20" t="s">
        <v>5052</v>
      </c>
      <c r="R251" s="20" t="s">
        <v>5270</v>
      </c>
      <c r="S251" s="246">
        <v>-200000</v>
      </c>
      <c r="T251" s="213" t="s">
        <v>4711</v>
      </c>
      <c r="U251" s="213">
        <v>49555</v>
      </c>
      <c r="V251" s="113">
        <v>238.345</v>
      </c>
      <c r="W251" s="113">
        <f t="shared" si="69"/>
        <v>11811186.475</v>
      </c>
      <c r="X251" s="99" t="s">
        <v>750</v>
      </c>
      <c r="Y251" t="s">
        <v>25</v>
      </c>
      <c r="AH251" s="99">
        <v>12</v>
      </c>
      <c r="AI251" s="99" t="s">
        <v>4337</v>
      </c>
      <c r="AJ251" s="117">
        <v>-8736514</v>
      </c>
      <c r="AK251" s="99">
        <v>1</v>
      </c>
      <c r="AL251" s="99">
        <f>AK251+AL252</f>
        <v>453</v>
      </c>
      <c r="AM251" s="99">
        <f t="shared" si="71"/>
        <v>-3957640842</v>
      </c>
      <c r="AN251" s="99"/>
    </row>
    <row r="252" spans="15:43">
      <c r="P252" t="s">
        <v>25</v>
      </c>
      <c r="Q252" s="195" t="s">
        <v>5296</v>
      </c>
      <c r="R252" s="195" t="s">
        <v>5295</v>
      </c>
      <c r="S252" s="241">
        <v>1000000</v>
      </c>
      <c r="T252" s="213" t="s">
        <v>4711</v>
      </c>
      <c r="U252" s="213">
        <v>49555</v>
      </c>
      <c r="V252" s="113">
        <v>238.345</v>
      </c>
      <c r="W252" s="113">
        <f t="shared" si="69"/>
        <v>11811186.475</v>
      </c>
      <c r="X252" s="99" t="s">
        <v>452</v>
      </c>
      <c r="AH252" s="99">
        <v>13</v>
      </c>
      <c r="AI252" s="99" t="s">
        <v>4338</v>
      </c>
      <c r="AJ252" s="117">
        <v>555000</v>
      </c>
      <c r="AK252" s="99">
        <v>5</v>
      </c>
      <c r="AL252" s="99">
        <f t="shared" ref="AL252:AL268" si="72">AK252+AL253</f>
        <v>452</v>
      </c>
      <c r="AM252" s="99">
        <f t="shared" si="71"/>
        <v>250860000</v>
      </c>
      <c r="AN252" s="99"/>
    </row>
    <row r="253" spans="15:43">
      <c r="Q253" s="20" t="s">
        <v>5052</v>
      </c>
      <c r="R253" s="20" t="s">
        <v>5316</v>
      </c>
      <c r="S253" s="246">
        <v>-122000</v>
      </c>
      <c r="T253" s="213" t="s">
        <v>4725</v>
      </c>
      <c r="U253" s="213">
        <v>160187</v>
      </c>
      <c r="V253" s="113">
        <v>257.49799999999999</v>
      </c>
      <c r="W253" s="113">
        <f t="shared" si="69"/>
        <v>41247832.126000002</v>
      </c>
      <c r="X253" s="99" t="s">
        <v>750</v>
      </c>
      <c r="AH253" s="99">
        <v>14</v>
      </c>
      <c r="AI253" s="99" t="s">
        <v>4362</v>
      </c>
      <c r="AJ253" s="117">
        <v>-448308</v>
      </c>
      <c r="AK253" s="99">
        <v>6</v>
      </c>
      <c r="AL253" s="99">
        <f t="shared" si="72"/>
        <v>447</v>
      </c>
      <c r="AM253" s="99">
        <f t="shared" si="71"/>
        <v>-200393676</v>
      </c>
      <c r="AN253" s="99"/>
      <c r="AQ253" t="s">
        <v>25</v>
      </c>
    </row>
    <row r="254" spans="15:43">
      <c r="Q254" s="20" t="s">
        <v>5052</v>
      </c>
      <c r="R254" s="20" t="s">
        <v>5327</v>
      </c>
      <c r="S254" s="246">
        <v>-700000</v>
      </c>
      <c r="T254" s="213" t="s">
        <v>4725</v>
      </c>
      <c r="U254" s="213">
        <v>160187</v>
      </c>
      <c r="V254" s="113">
        <v>257.49799999999999</v>
      </c>
      <c r="W254" s="113">
        <f t="shared" si="69"/>
        <v>41247832.126000002</v>
      </c>
      <c r="X254" s="99" t="s">
        <v>452</v>
      </c>
      <c r="AH254" s="99">
        <v>15</v>
      </c>
      <c r="AI254" s="99" t="s">
        <v>4392</v>
      </c>
      <c r="AJ254" s="117">
        <v>33225</v>
      </c>
      <c r="AK254" s="99">
        <v>0</v>
      </c>
      <c r="AL254" s="99">
        <f t="shared" si="72"/>
        <v>441</v>
      </c>
      <c r="AM254" s="99">
        <f t="shared" si="71"/>
        <v>14652225</v>
      </c>
      <c r="AN254" s="99"/>
    </row>
    <row r="255" spans="15:43">
      <c r="Q255" s="20" t="s">
        <v>5052</v>
      </c>
      <c r="R255" s="20" t="s">
        <v>5343</v>
      </c>
      <c r="S255" s="246">
        <v>-60000</v>
      </c>
      <c r="T255" s="213" t="s">
        <v>4733</v>
      </c>
      <c r="U255" s="213">
        <v>144401</v>
      </c>
      <c r="V255" s="113">
        <v>258.5061</v>
      </c>
      <c r="W255" s="113">
        <f t="shared" si="69"/>
        <v>37328539.346100003</v>
      </c>
      <c r="X255" s="99" t="s">
        <v>750</v>
      </c>
      <c r="AH255" s="149">
        <v>16</v>
      </c>
      <c r="AI255" s="149" t="s">
        <v>4392</v>
      </c>
      <c r="AJ255" s="188">
        <v>4098523</v>
      </c>
      <c r="AK255" s="149">
        <v>2</v>
      </c>
      <c r="AL255" s="149">
        <f t="shared" si="72"/>
        <v>441</v>
      </c>
      <c r="AM255" s="149">
        <f t="shared" si="71"/>
        <v>1807448643</v>
      </c>
      <c r="AN255" s="149" t="s">
        <v>656</v>
      </c>
    </row>
    <row r="256" spans="15:43">
      <c r="Q256" s="20" t="s">
        <v>4436</v>
      </c>
      <c r="R256" s="20" t="s">
        <v>5408</v>
      </c>
      <c r="S256" s="246">
        <v>700000</v>
      </c>
      <c r="T256" s="213" t="s">
        <v>4733</v>
      </c>
      <c r="U256" s="213">
        <v>144401</v>
      </c>
      <c r="V256" s="113">
        <v>258.5061</v>
      </c>
      <c r="W256" s="113">
        <f t="shared" si="69"/>
        <v>37328539.346100003</v>
      </c>
      <c r="X256" s="99" t="s">
        <v>452</v>
      </c>
      <c r="AH256" s="149">
        <v>17</v>
      </c>
      <c r="AI256" s="149" t="s">
        <v>4405</v>
      </c>
      <c r="AJ256" s="188">
        <v>-1000000</v>
      </c>
      <c r="AK256" s="149">
        <v>7</v>
      </c>
      <c r="AL256" s="149">
        <f t="shared" si="72"/>
        <v>439</v>
      </c>
      <c r="AM256" s="149">
        <f t="shared" si="71"/>
        <v>-439000000</v>
      </c>
      <c r="AN256" s="149" t="s">
        <v>656</v>
      </c>
    </row>
    <row r="257" spans="17:45">
      <c r="Q257" s="149" t="s">
        <v>5421</v>
      </c>
      <c r="R257" s="149" t="s">
        <v>5420</v>
      </c>
      <c r="S257" s="150">
        <v>-2000000</v>
      </c>
      <c r="T257" s="168" t="s">
        <v>4740</v>
      </c>
      <c r="U257" s="168">
        <v>196500</v>
      </c>
      <c r="V257" s="113">
        <v>254.452</v>
      </c>
      <c r="W257" s="113">
        <f t="shared" si="69"/>
        <v>49999818</v>
      </c>
      <c r="X257" s="99" t="s">
        <v>4744</v>
      </c>
      <c r="AH257" s="149">
        <v>18</v>
      </c>
      <c r="AI257" s="149" t="s">
        <v>4425</v>
      </c>
      <c r="AJ257" s="188">
        <v>750000</v>
      </c>
      <c r="AK257" s="149">
        <v>1</v>
      </c>
      <c r="AL257" s="149">
        <f t="shared" si="72"/>
        <v>432</v>
      </c>
      <c r="AM257" s="149">
        <f t="shared" si="71"/>
        <v>324000000</v>
      </c>
      <c r="AN257" s="149" t="s">
        <v>656</v>
      </c>
    </row>
    <row r="258" spans="17:45">
      <c r="Q258" s="149" t="s">
        <v>5430</v>
      </c>
      <c r="R258" s="149" t="s">
        <v>5423</v>
      </c>
      <c r="S258" s="150">
        <v>2000000</v>
      </c>
      <c r="T258" s="213" t="s">
        <v>4740</v>
      </c>
      <c r="U258" s="213">
        <v>2561</v>
      </c>
      <c r="V258" s="113">
        <v>254.536</v>
      </c>
      <c r="W258" s="113">
        <f t="shared" si="69"/>
        <v>651866.696</v>
      </c>
      <c r="X258" s="99" t="s">
        <v>4745</v>
      </c>
      <c r="Z258" t="s">
        <v>25</v>
      </c>
      <c r="AH258" s="195">
        <v>19</v>
      </c>
      <c r="AI258" s="195" t="s">
        <v>4427</v>
      </c>
      <c r="AJ258" s="196">
        <v>-604152</v>
      </c>
      <c r="AK258" s="195">
        <v>0</v>
      </c>
      <c r="AL258" s="195">
        <f t="shared" si="72"/>
        <v>431</v>
      </c>
      <c r="AM258" s="195">
        <f t="shared" si="71"/>
        <v>-260389512</v>
      </c>
      <c r="AN258" s="195" t="s">
        <v>656</v>
      </c>
    </row>
    <row r="259" spans="17:45">
      <c r="Q259" s="149" t="s">
        <v>1084</v>
      </c>
      <c r="R259" s="149" t="s">
        <v>5438</v>
      </c>
      <c r="S259" s="150">
        <v>40000000</v>
      </c>
      <c r="T259" s="213" t="s">
        <v>4789</v>
      </c>
      <c r="U259" s="213">
        <v>-11795</v>
      </c>
      <c r="V259" s="113">
        <v>254.334</v>
      </c>
      <c r="W259" s="113">
        <f t="shared" si="69"/>
        <v>-2999869.5300000003</v>
      </c>
      <c r="X259" s="99" t="s">
        <v>4790</v>
      </c>
      <c r="AH259" s="99">
        <v>20</v>
      </c>
      <c r="AI259" s="99" t="s">
        <v>4428</v>
      </c>
      <c r="AJ259" s="117">
        <v>-587083</v>
      </c>
      <c r="AK259" s="99">
        <v>4</v>
      </c>
      <c r="AL259" s="99">
        <f t="shared" si="72"/>
        <v>431</v>
      </c>
      <c r="AM259" s="99">
        <f t="shared" si="71"/>
        <v>-253032773</v>
      </c>
      <c r="AN259" s="99"/>
    </row>
    <row r="260" spans="17:45">
      <c r="Q260" s="20" t="s">
        <v>4436</v>
      </c>
      <c r="R260" s="20" t="s">
        <v>5445</v>
      </c>
      <c r="S260" s="246">
        <v>-800000</v>
      </c>
      <c r="T260" s="213" t="s">
        <v>4789</v>
      </c>
      <c r="U260" s="213">
        <v>11795</v>
      </c>
      <c r="V260" s="113">
        <v>254.334</v>
      </c>
      <c r="W260" s="113">
        <f t="shared" si="69"/>
        <v>2999869.5300000003</v>
      </c>
      <c r="X260" s="99" t="s">
        <v>4791</v>
      </c>
      <c r="AH260" s="195">
        <v>21</v>
      </c>
      <c r="AI260" s="195" t="s">
        <v>4429</v>
      </c>
      <c r="AJ260" s="196">
        <v>-754351</v>
      </c>
      <c r="AK260" s="195">
        <v>0</v>
      </c>
      <c r="AL260" s="149">
        <f t="shared" si="72"/>
        <v>427</v>
      </c>
      <c r="AM260" s="195">
        <f t="shared" si="71"/>
        <v>-322107877</v>
      </c>
      <c r="AN260" s="195" t="s">
        <v>656</v>
      </c>
    </row>
    <row r="261" spans="17:45">
      <c r="Q261" s="99"/>
      <c r="R261" s="99"/>
      <c r="S261" s="95"/>
      <c r="T261" s="213" t="s">
        <v>4803</v>
      </c>
      <c r="U261" s="213">
        <v>260</v>
      </c>
      <c r="V261" s="113">
        <v>263.19</v>
      </c>
      <c r="W261" s="113">
        <f t="shared" si="69"/>
        <v>68429.399999999994</v>
      </c>
      <c r="X261" s="99" t="s">
        <v>452</v>
      </c>
      <c r="AH261" s="99">
        <v>22</v>
      </c>
      <c r="AI261" s="99" t="s">
        <v>4429</v>
      </c>
      <c r="AJ261" s="117">
        <v>-189619</v>
      </c>
      <c r="AK261" s="99">
        <v>15</v>
      </c>
      <c r="AL261" s="99">
        <f t="shared" si="72"/>
        <v>427</v>
      </c>
      <c r="AM261" s="99">
        <f t="shared" si="71"/>
        <v>-80967313</v>
      </c>
      <c r="AN261" s="99"/>
    </row>
    <row r="262" spans="17:45">
      <c r="Q262" s="99"/>
      <c r="R262" s="99"/>
      <c r="S262" s="95">
        <f>SUM(S233:S261)</f>
        <v>132248555</v>
      </c>
      <c r="T262" s="213" t="s">
        <v>4812</v>
      </c>
      <c r="U262" s="213">
        <v>15257</v>
      </c>
      <c r="V262" s="113">
        <v>262.19018</v>
      </c>
      <c r="W262" s="113">
        <f t="shared" si="69"/>
        <v>4000235.57626</v>
      </c>
      <c r="X262" s="99" t="s">
        <v>452</v>
      </c>
      <c r="AH262" s="195">
        <v>23</v>
      </c>
      <c r="AI262" s="195" t="s">
        <v>4500</v>
      </c>
      <c r="AJ262" s="188">
        <v>7100</v>
      </c>
      <c r="AK262" s="195">
        <v>0</v>
      </c>
      <c r="AL262" s="149">
        <f t="shared" si="72"/>
        <v>412</v>
      </c>
      <c r="AM262" s="195">
        <f t="shared" si="71"/>
        <v>2925200</v>
      </c>
      <c r="AN262" s="195" t="s">
        <v>656</v>
      </c>
    </row>
    <row r="263" spans="17:45">
      <c r="R263" s="99"/>
      <c r="S263" s="99" t="s">
        <v>6</v>
      </c>
      <c r="T263" s="213" t="s">
        <v>4812</v>
      </c>
      <c r="U263" s="213">
        <v>8444</v>
      </c>
      <c r="V263" s="113">
        <v>266.43029999999999</v>
      </c>
      <c r="W263" s="113">
        <f t="shared" si="69"/>
        <v>2249737.4531999999</v>
      </c>
      <c r="X263" s="99" t="s">
        <v>452</v>
      </c>
      <c r="AH263" s="20">
        <v>24</v>
      </c>
      <c r="AI263" s="20" t="s">
        <v>4500</v>
      </c>
      <c r="AJ263" s="117">
        <v>-147902</v>
      </c>
      <c r="AK263" s="20">
        <v>3</v>
      </c>
      <c r="AL263" s="99">
        <f t="shared" si="72"/>
        <v>412</v>
      </c>
      <c r="AM263" s="20">
        <f t="shared" si="71"/>
        <v>-60935624</v>
      </c>
      <c r="AN263" s="20"/>
    </row>
    <row r="264" spans="17:45">
      <c r="Q264" s="96"/>
      <c r="T264" s="213" t="s">
        <v>4817</v>
      </c>
      <c r="U264" s="213">
        <v>-6209</v>
      </c>
      <c r="V264" s="113">
        <v>273.79649999999998</v>
      </c>
      <c r="W264" s="113">
        <f t="shared" si="69"/>
        <v>-1700002.4685</v>
      </c>
      <c r="X264" s="99" t="s">
        <v>4828</v>
      </c>
      <c r="AH264" s="149">
        <v>25</v>
      </c>
      <c r="AI264" s="149" t="s">
        <v>4508</v>
      </c>
      <c r="AJ264" s="188">
        <v>-37200</v>
      </c>
      <c r="AK264" s="149">
        <v>4</v>
      </c>
      <c r="AL264" s="149">
        <f t="shared" si="72"/>
        <v>409</v>
      </c>
      <c r="AM264" s="195">
        <f t="shared" si="71"/>
        <v>-15214800</v>
      </c>
      <c r="AN264" s="149" t="s">
        <v>656</v>
      </c>
    </row>
    <row r="265" spans="17:45">
      <c r="Q265" s="96"/>
      <c r="R265" s="96" t="s">
        <v>25</v>
      </c>
      <c r="T265" s="213" t="s">
        <v>4817</v>
      </c>
      <c r="U265" s="213">
        <v>-8014</v>
      </c>
      <c r="V265" s="113">
        <v>273.79649999999998</v>
      </c>
      <c r="W265" s="113">
        <f t="shared" si="69"/>
        <v>-2194205.1510000001</v>
      </c>
      <c r="X265" s="99" t="s">
        <v>750</v>
      </c>
      <c r="AH265" s="99">
        <v>26</v>
      </c>
      <c r="AI265" s="99" t="s">
        <v>4539</v>
      </c>
      <c r="AJ265" s="117">
        <v>-372326</v>
      </c>
      <c r="AK265" s="99">
        <v>21</v>
      </c>
      <c r="AL265" s="99">
        <f t="shared" si="72"/>
        <v>405</v>
      </c>
      <c r="AM265" s="20">
        <f t="shared" si="71"/>
        <v>-150792030</v>
      </c>
      <c r="AN265" s="99"/>
    </row>
    <row r="266" spans="17:45">
      <c r="Q266" s="96"/>
      <c r="R266" s="96" t="s">
        <v>25</v>
      </c>
      <c r="S266" t="s">
        <v>25</v>
      </c>
      <c r="T266" s="213" t="s">
        <v>4826</v>
      </c>
      <c r="U266" s="213">
        <v>-9176</v>
      </c>
      <c r="V266" s="113">
        <v>273.79649999999998</v>
      </c>
      <c r="W266" s="113">
        <f t="shared" si="69"/>
        <v>-2512356.6839999999</v>
      </c>
      <c r="X266" s="99" t="s">
        <v>452</v>
      </c>
      <c r="AH266" s="99">
        <v>27</v>
      </c>
      <c r="AI266" s="99" t="s">
        <v>4591</v>
      </c>
      <c r="AJ266" s="117">
        <v>235062</v>
      </c>
      <c r="AK266" s="99">
        <v>0</v>
      </c>
      <c r="AL266" s="99">
        <f t="shared" si="72"/>
        <v>384</v>
      </c>
      <c r="AM266" s="20">
        <f t="shared" si="71"/>
        <v>90263808</v>
      </c>
      <c r="AN266" s="99"/>
    </row>
    <row r="267" spans="17:45">
      <c r="S267" t="s">
        <v>25</v>
      </c>
      <c r="T267" s="213" t="s">
        <v>4826</v>
      </c>
      <c r="U267" s="213">
        <v>1087</v>
      </c>
      <c r="V267" s="113">
        <v>273.79649999999998</v>
      </c>
      <c r="W267" s="113">
        <f t="shared" si="69"/>
        <v>297616.79550000001</v>
      </c>
      <c r="X267" s="99" t="s">
        <v>452</v>
      </c>
      <c r="Y267" t="s">
        <v>25</v>
      </c>
      <c r="AH267" s="149">
        <v>28</v>
      </c>
      <c r="AI267" s="149" t="s">
        <v>4591</v>
      </c>
      <c r="AJ267" s="188">
        <v>235062</v>
      </c>
      <c r="AK267" s="149">
        <v>9</v>
      </c>
      <c r="AL267" s="99">
        <f t="shared" si="72"/>
        <v>384</v>
      </c>
      <c r="AM267" s="149">
        <f t="shared" si="71"/>
        <v>90263808</v>
      </c>
      <c r="AN267" s="149" t="s">
        <v>656</v>
      </c>
      <c r="AS267" t="s">
        <v>25</v>
      </c>
    </row>
    <row r="268" spans="17:45">
      <c r="Q268" s="99" t="s">
        <v>750</v>
      </c>
      <c r="R268" s="99"/>
      <c r="T268" s="213" t="s">
        <v>979</v>
      </c>
      <c r="U268" s="213">
        <v>-4017</v>
      </c>
      <c r="V268" s="113">
        <v>273.79649999999998</v>
      </c>
      <c r="W268" s="113">
        <f t="shared" si="69"/>
        <v>-1099840.5404999999</v>
      </c>
      <c r="X268" s="99" t="s">
        <v>4436</v>
      </c>
      <c r="AA268" t="s">
        <v>25</v>
      </c>
      <c r="AH268" s="149">
        <v>29</v>
      </c>
      <c r="AI268" s="149" t="s">
        <v>4615</v>
      </c>
      <c r="AJ268" s="188">
        <v>450000</v>
      </c>
      <c r="AK268" s="149">
        <v>0</v>
      </c>
      <c r="AL268" s="99">
        <f t="shared" si="72"/>
        <v>375</v>
      </c>
      <c r="AM268" s="149">
        <f t="shared" si="71"/>
        <v>168750000</v>
      </c>
      <c r="AN268" s="149" t="s">
        <v>656</v>
      </c>
    </row>
    <row r="269" spans="17:45">
      <c r="Q269" s="99" t="s">
        <v>4429</v>
      </c>
      <c r="R269" s="95">
        <v>172908000</v>
      </c>
      <c r="T269" s="213" t="s">
        <v>979</v>
      </c>
      <c r="U269" s="213">
        <v>4017</v>
      </c>
      <c r="V269" s="113">
        <v>273.79649999999998</v>
      </c>
      <c r="W269" s="113">
        <f t="shared" si="69"/>
        <v>1099840.5404999999</v>
      </c>
      <c r="X269" s="99" t="s">
        <v>452</v>
      </c>
      <c r="AH269" s="20">
        <v>30</v>
      </c>
      <c r="AI269" s="20" t="s">
        <v>4615</v>
      </c>
      <c r="AJ269" s="117">
        <v>450000</v>
      </c>
      <c r="AK269" s="20">
        <v>22</v>
      </c>
      <c r="AL269" s="99">
        <f>AK269+AL270</f>
        <v>375</v>
      </c>
      <c r="AM269" s="20">
        <f t="shared" si="71"/>
        <v>168750000</v>
      </c>
      <c r="AN269" s="20"/>
    </row>
    <row r="270" spans="17:45">
      <c r="Q270" s="99" t="s">
        <v>4469</v>
      </c>
      <c r="R270" s="95">
        <v>1400000</v>
      </c>
      <c r="T270" s="213" t="s">
        <v>4833</v>
      </c>
      <c r="U270" s="213">
        <v>3137</v>
      </c>
      <c r="V270" s="113">
        <v>283.69110000000001</v>
      </c>
      <c r="W270" s="113">
        <f t="shared" si="69"/>
        <v>889938.98070000007</v>
      </c>
      <c r="X270" s="99" t="s">
        <v>452</v>
      </c>
      <c r="AH270" s="149">
        <v>31</v>
      </c>
      <c r="AI270" s="149" t="s">
        <v>4685</v>
      </c>
      <c r="AJ270" s="188">
        <v>300000</v>
      </c>
      <c r="AK270" s="149">
        <v>0</v>
      </c>
      <c r="AL270" s="149">
        <f t="shared" ref="AL270:AL285" si="73">AK270+AL271</f>
        <v>353</v>
      </c>
      <c r="AM270" s="149">
        <f t="shared" ref="AM270:AM273" si="74">AJ270*AL270</f>
        <v>105900000</v>
      </c>
      <c r="AN270" s="149"/>
    </row>
    <row r="271" spans="17:45" ht="30">
      <c r="Q271" s="99" t="s">
        <v>4223</v>
      </c>
      <c r="R271" s="95">
        <v>247393</v>
      </c>
      <c r="S271" t="s">
        <v>25</v>
      </c>
      <c r="T271" s="213" t="s">
        <v>4846</v>
      </c>
      <c r="U271" s="213">
        <v>101933</v>
      </c>
      <c r="V271" s="113">
        <v>294.30973999999998</v>
      </c>
      <c r="W271" s="113">
        <f t="shared" si="69"/>
        <v>29999874.727419998</v>
      </c>
      <c r="X271" s="99" t="s">
        <v>1084</v>
      </c>
      <c r="AH271" s="121">
        <v>32</v>
      </c>
      <c r="AI271" s="121" t="s">
        <v>4685</v>
      </c>
      <c r="AJ271" s="79">
        <v>288936</v>
      </c>
      <c r="AK271" s="121">
        <v>3</v>
      </c>
      <c r="AL271" s="121">
        <f t="shared" si="73"/>
        <v>353</v>
      </c>
      <c r="AM271" s="121">
        <f t="shared" si="74"/>
        <v>101994408</v>
      </c>
      <c r="AN271" s="205" t="s">
        <v>4696</v>
      </c>
      <c r="AR271" t="s">
        <v>25</v>
      </c>
    </row>
    <row r="272" spans="17:45">
      <c r="Q272" s="99" t="s">
        <v>4222</v>
      </c>
      <c r="R272" s="95">
        <v>6780000</v>
      </c>
      <c r="T272" s="213" t="s">
        <v>4853</v>
      </c>
      <c r="U272" s="213">
        <v>3407</v>
      </c>
      <c r="V272" s="113">
        <v>293.43799999999999</v>
      </c>
      <c r="W272" s="113">
        <f t="shared" si="69"/>
        <v>999743.26599999995</v>
      </c>
      <c r="X272" s="99" t="s">
        <v>452</v>
      </c>
      <c r="AH272" s="121">
        <v>33</v>
      </c>
      <c r="AI272" s="121" t="s">
        <v>4694</v>
      </c>
      <c r="AJ272" s="79">
        <v>17962491</v>
      </c>
      <c r="AK272" s="121">
        <v>1</v>
      </c>
      <c r="AL272" s="121">
        <f t="shared" si="73"/>
        <v>350</v>
      </c>
      <c r="AM272" s="121">
        <f t="shared" si="74"/>
        <v>6286871850</v>
      </c>
      <c r="AN272" s="121" t="s">
        <v>4701</v>
      </c>
    </row>
    <row r="273" spans="17:40">
      <c r="Q273" s="99" t="s">
        <v>4577</v>
      </c>
      <c r="R273" s="95">
        <v>-4000000</v>
      </c>
      <c r="T273" s="213" t="s">
        <v>4854</v>
      </c>
      <c r="U273" s="213">
        <v>68796</v>
      </c>
      <c r="V273" s="113">
        <v>293.53250000000003</v>
      </c>
      <c r="W273" s="113">
        <f t="shared" si="69"/>
        <v>20193861.870000001</v>
      </c>
      <c r="X273" s="99" t="s">
        <v>750</v>
      </c>
      <c r="Y273" t="s">
        <v>25</v>
      </c>
      <c r="AH273" s="121">
        <v>34</v>
      </c>
      <c r="AI273" s="121" t="s">
        <v>3681</v>
      </c>
      <c r="AJ273" s="79">
        <v>18363511</v>
      </c>
      <c r="AK273" s="121">
        <v>1</v>
      </c>
      <c r="AL273" s="121">
        <f t="shared" si="73"/>
        <v>349</v>
      </c>
      <c r="AM273" s="121">
        <f t="shared" si="74"/>
        <v>6408865339</v>
      </c>
      <c r="AN273" s="121" t="s">
        <v>4701</v>
      </c>
    </row>
    <row r="274" spans="17:40">
      <c r="Q274" s="99" t="s">
        <v>4609</v>
      </c>
      <c r="R274" s="95">
        <v>16727037</v>
      </c>
      <c r="T274" s="213" t="s">
        <v>4854</v>
      </c>
      <c r="U274" s="213">
        <v>154791</v>
      </c>
      <c r="V274" s="113">
        <v>293.53250000000003</v>
      </c>
      <c r="W274" s="113">
        <f t="shared" si="69"/>
        <v>45436189.207500003</v>
      </c>
      <c r="X274" s="99" t="s">
        <v>452</v>
      </c>
      <c r="Y274" t="s">
        <v>25</v>
      </c>
      <c r="AH274" s="121">
        <v>35</v>
      </c>
      <c r="AI274" s="121" t="s">
        <v>4707</v>
      </c>
      <c r="AJ274" s="79">
        <v>23622417</v>
      </c>
      <c r="AK274" s="121">
        <v>5</v>
      </c>
      <c r="AL274" s="121">
        <f t="shared" si="73"/>
        <v>348</v>
      </c>
      <c r="AM274" s="121">
        <f t="shared" ref="AM274:AM277" si="75">AJ274*AL274</f>
        <v>8220601116</v>
      </c>
      <c r="AN274" s="121" t="s">
        <v>4710</v>
      </c>
    </row>
    <row r="275" spans="17:40">
      <c r="Q275" s="99" t="s">
        <v>4614</v>
      </c>
      <c r="R275" s="95">
        <v>46460683</v>
      </c>
      <c r="S275" t="s">
        <v>25</v>
      </c>
      <c r="T275" s="213" t="s">
        <v>4854</v>
      </c>
      <c r="U275" s="213">
        <v>-11923</v>
      </c>
      <c r="V275" s="113">
        <v>293.53250000000003</v>
      </c>
      <c r="W275" s="113">
        <f t="shared" si="69"/>
        <v>-3499787.9975000005</v>
      </c>
      <c r="X275" s="99" t="s">
        <v>452</v>
      </c>
      <c r="AH275" s="121">
        <v>36</v>
      </c>
      <c r="AI275" s="121" t="s">
        <v>4723</v>
      </c>
      <c r="AJ275" s="79">
        <v>82496108</v>
      </c>
      <c r="AK275" s="121">
        <v>1</v>
      </c>
      <c r="AL275" s="121">
        <f t="shared" si="73"/>
        <v>343</v>
      </c>
      <c r="AM275" s="121">
        <f t="shared" si="75"/>
        <v>28296165044</v>
      </c>
      <c r="AN275" s="121" t="s">
        <v>4726</v>
      </c>
    </row>
    <row r="276" spans="17:40">
      <c r="Q276" s="99" t="s">
        <v>4615</v>
      </c>
      <c r="R276" s="95">
        <v>19663646</v>
      </c>
      <c r="T276" s="213" t="s">
        <v>4867</v>
      </c>
      <c r="U276" s="213">
        <v>8424</v>
      </c>
      <c r="V276" s="113">
        <v>299.15170000000001</v>
      </c>
      <c r="W276" s="113">
        <f t="shared" si="69"/>
        <v>2520053.9208</v>
      </c>
      <c r="X276" s="99" t="s">
        <v>452</v>
      </c>
      <c r="AH276" s="121">
        <v>37</v>
      </c>
      <c r="AI276" s="121" t="s">
        <v>4725</v>
      </c>
      <c r="AJ276" s="79">
        <v>74657561</v>
      </c>
      <c r="AK276" s="121">
        <v>16</v>
      </c>
      <c r="AL276" s="121">
        <f t="shared" si="73"/>
        <v>342</v>
      </c>
      <c r="AM276" s="121">
        <f t="shared" si="75"/>
        <v>25532885862</v>
      </c>
      <c r="AN276" s="121" t="s">
        <v>4732</v>
      </c>
    </row>
    <row r="277" spans="17:40">
      <c r="Q277" s="99" t="s">
        <v>4638</v>
      </c>
      <c r="R277" s="95">
        <v>4374525</v>
      </c>
      <c r="T277" s="213" t="s">
        <v>4902</v>
      </c>
      <c r="U277" s="213">
        <v>15943</v>
      </c>
      <c r="V277" s="113">
        <v>307.34415000000001</v>
      </c>
      <c r="W277" s="113">
        <f t="shared" si="69"/>
        <v>4899987.78345</v>
      </c>
      <c r="X277" s="99" t="s">
        <v>452</v>
      </c>
      <c r="AH277" s="99">
        <v>38</v>
      </c>
      <c r="AI277" s="99" t="s">
        <v>4803</v>
      </c>
      <c r="AJ277" s="117">
        <v>665000</v>
      </c>
      <c r="AK277" s="99">
        <v>0</v>
      </c>
      <c r="AL277" s="99">
        <f t="shared" si="73"/>
        <v>326</v>
      </c>
      <c r="AM277" s="20">
        <f t="shared" si="75"/>
        <v>216790000</v>
      </c>
      <c r="AN277" s="99"/>
    </row>
    <row r="278" spans="17:40">
      <c r="Q278" s="99" t="s">
        <v>4650</v>
      </c>
      <c r="R278" s="95">
        <v>6550580</v>
      </c>
      <c r="T278" s="213" t="s">
        <v>4922</v>
      </c>
      <c r="U278" s="213">
        <v>3741</v>
      </c>
      <c r="V278" s="113">
        <v>307.34415000000001</v>
      </c>
      <c r="W278" s="113">
        <f t="shared" si="69"/>
        <v>1149774.4651500001</v>
      </c>
      <c r="X278" s="99" t="s">
        <v>452</v>
      </c>
      <c r="AH278" s="149">
        <v>39</v>
      </c>
      <c r="AI278" s="149" t="s">
        <v>4803</v>
      </c>
      <c r="AJ278" s="188">
        <v>665000</v>
      </c>
      <c r="AK278" s="149">
        <v>4</v>
      </c>
      <c r="AL278" s="195">
        <f t="shared" si="73"/>
        <v>326</v>
      </c>
      <c r="AM278" s="195">
        <f t="shared" ref="AM278:AM279" si="76">AJ278*AL278</f>
        <v>216790000</v>
      </c>
      <c r="AN278" s="195"/>
    </row>
    <row r="279" spans="17:40">
      <c r="Q279" s="99" t="s">
        <v>4652</v>
      </c>
      <c r="R279" s="95">
        <v>6650895</v>
      </c>
      <c r="T279" s="213" t="s">
        <v>4928</v>
      </c>
      <c r="U279" s="213">
        <v>-6207</v>
      </c>
      <c r="V279" s="113">
        <v>322.214</v>
      </c>
      <c r="W279" s="113">
        <f t="shared" si="69"/>
        <v>-1999982.298</v>
      </c>
      <c r="X279" s="99" t="s">
        <v>750</v>
      </c>
      <c r="AH279" s="20">
        <v>40</v>
      </c>
      <c r="AI279" s="20" t="s">
        <v>4812</v>
      </c>
      <c r="AJ279" s="117">
        <v>2000000</v>
      </c>
      <c r="AK279" s="20">
        <v>1</v>
      </c>
      <c r="AL279" s="99">
        <f t="shared" si="73"/>
        <v>322</v>
      </c>
      <c r="AM279" s="20">
        <f t="shared" si="76"/>
        <v>644000000</v>
      </c>
      <c r="AN279" s="99"/>
    </row>
    <row r="280" spans="17:40">
      <c r="Q280" s="99" t="s">
        <v>4672</v>
      </c>
      <c r="R280" s="95">
        <v>2145814</v>
      </c>
      <c r="T280" s="213" t="s">
        <v>4928</v>
      </c>
      <c r="U280" s="213">
        <v>6207</v>
      </c>
      <c r="V280" s="113">
        <v>322.214</v>
      </c>
      <c r="W280" s="113">
        <f t="shared" si="69"/>
        <v>1999982.298</v>
      </c>
      <c r="X280" s="99" t="s">
        <v>4436</v>
      </c>
      <c r="AH280" s="20">
        <v>41</v>
      </c>
      <c r="AI280" s="20" t="s">
        <v>4817</v>
      </c>
      <c r="AJ280" s="117">
        <v>-2060725</v>
      </c>
      <c r="AK280" s="20">
        <v>0</v>
      </c>
      <c r="AL280" s="99">
        <f t="shared" si="73"/>
        <v>321</v>
      </c>
      <c r="AM280" s="20">
        <f t="shared" ref="AM280:AM285" si="77">AJ280*AL280</f>
        <v>-661492725</v>
      </c>
      <c r="AN280" s="99" t="s">
        <v>4818</v>
      </c>
    </row>
    <row r="281" spans="17:40">
      <c r="Q281" s="99" t="s">
        <v>4683</v>
      </c>
      <c r="R281" s="95">
        <v>4369730</v>
      </c>
      <c r="T281" s="213" t="s">
        <v>4874</v>
      </c>
      <c r="U281" s="213">
        <v>776</v>
      </c>
      <c r="V281" s="113">
        <v>322.214</v>
      </c>
      <c r="W281" s="113">
        <f t="shared" si="69"/>
        <v>250038.06400000001</v>
      </c>
      <c r="X281" s="99" t="s">
        <v>452</v>
      </c>
      <c r="AH281" s="149">
        <v>42</v>
      </c>
      <c r="AI281" s="149" t="s">
        <v>4817</v>
      </c>
      <c r="AJ281" s="188">
        <v>-433375</v>
      </c>
      <c r="AK281" s="149">
        <v>0</v>
      </c>
      <c r="AL281" s="149">
        <f t="shared" si="73"/>
        <v>321</v>
      </c>
      <c r="AM281" s="149">
        <f t="shared" si="77"/>
        <v>-139113375</v>
      </c>
      <c r="AN281" s="149" t="s">
        <v>4819</v>
      </c>
    </row>
    <row r="282" spans="17:40">
      <c r="Q282" s="99" t="s">
        <v>4685</v>
      </c>
      <c r="R282" s="95">
        <v>8739459</v>
      </c>
      <c r="S282" t="s">
        <v>25</v>
      </c>
      <c r="T282" s="213" t="s">
        <v>4954</v>
      </c>
      <c r="U282" s="213">
        <v>1524</v>
      </c>
      <c r="V282" s="113">
        <v>314.95999999999998</v>
      </c>
      <c r="W282" s="113">
        <f t="shared" si="69"/>
        <v>479999.04</v>
      </c>
      <c r="X282" s="99" t="s">
        <v>1084</v>
      </c>
      <c r="AH282" s="20">
        <v>43</v>
      </c>
      <c r="AI282" s="20" t="s">
        <v>4817</v>
      </c>
      <c r="AJ282" s="117">
        <v>28000000</v>
      </c>
      <c r="AK282" s="20">
        <v>1</v>
      </c>
      <c r="AL282" s="99">
        <f t="shared" si="73"/>
        <v>321</v>
      </c>
      <c r="AM282" s="20">
        <f t="shared" si="77"/>
        <v>8988000000</v>
      </c>
      <c r="AN282" s="99" t="s">
        <v>3888</v>
      </c>
    </row>
    <row r="283" spans="17:40">
      <c r="Q283" s="99" t="s">
        <v>4694</v>
      </c>
      <c r="R283" s="95">
        <v>6667654</v>
      </c>
      <c r="T283" s="213" t="s">
        <v>4963</v>
      </c>
      <c r="U283" s="213">
        <v>4435</v>
      </c>
      <c r="V283" s="113">
        <v>316.4375</v>
      </c>
      <c r="W283" s="113">
        <f t="shared" si="69"/>
        <v>1403400.3125</v>
      </c>
      <c r="X283" s="99" t="s">
        <v>452</v>
      </c>
      <c r="AH283" s="20">
        <v>44</v>
      </c>
      <c r="AI283" s="20" t="s">
        <v>4826</v>
      </c>
      <c r="AJ283" s="117">
        <v>160000</v>
      </c>
      <c r="AK283" s="20">
        <v>0</v>
      </c>
      <c r="AL283" s="99">
        <f t="shared" si="73"/>
        <v>320</v>
      </c>
      <c r="AM283" s="20">
        <f t="shared" si="77"/>
        <v>51200000</v>
      </c>
      <c r="AN283" s="99"/>
    </row>
    <row r="284" spans="17:40">
      <c r="Q284" s="99" t="s">
        <v>4702</v>
      </c>
      <c r="R284" s="95">
        <v>8981245</v>
      </c>
      <c r="T284" s="213" t="s">
        <v>4968</v>
      </c>
      <c r="U284" s="213">
        <v>624</v>
      </c>
      <c r="V284" s="113">
        <v>320.5</v>
      </c>
      <c r="W284" s="113">
        <f t="shared" si="69"/>
        <v>199992</v>
      </c>
      <c r="X284" s="99" t="s">
        <v>452</v>
      </c>
      <c r="AH284" s="149">
        <v>45</v>
      </c>
      <c r="AI284" s="149" t="s">
        <v>4826</v>
      </c>
      <c r="AJ284" s="188">
        <v>70000</v>
      </c>
      <c r="AK284" s="149">
        <v>9</v>
      </c>
      <c r="AL284" s="149">
        <f t="shared" si="73"/>
        <v>320</v>
      </c>
      <c r="AM284" s="149">
        <f t="shared" si="77"/>
        <v>22400000</v>
      </c>
      <c r="AN284" s="149"/>
    </row>
    <row r="285" spans="17:40">
      <c r="Q285" s="99" t="s">
        <v>4707</v>
      </c>
      <c r="R285" s="95">
        <v>9181756</v>
      </c>
      <c r="T285" s="213" t="s">
        <v>4974</v>
      </c>
      <c r="U285" s="213">
        <v>1086</v>
      </c>
      <c r="V285" s="113">
        <v>317.55</v>
      </c>
      <c r="W285" s="113">
        <f t="shared" si="69"/>
        <v>344859.3</v>
      </c>
      <c r="X285" s="99" t="s">
        <v>452</v>
      </c>
      <c r="AH285" s="20">
        <v>46</v>
      </c>
      <c r="AI285" s="20" t="s">
        <v>4833</v>
      </c>
      <c r="AJ285" s="117">
        <v>850000</v>
      </c>
      <c r="AK285" s="20">
        <v>0</v>
      </c>
      <c r="AL285" s="99">
        <f t="shared" si="73"/>
        <v>311</v>
      </c>
      <c r="AM285" s="20">
        <f t="shared" si="77"/>
        <v>264350000</v>
      </c>
      <c r="AN285" s="99"/>
    </row>
    <row r="286" spans="17:40">
      <c r="Q286" s="99" t="s">
        <v>4711</v>
      </c>
      <c r="R286" s="95">
        <v>11811208</v>
      </c>
      <c r="S286" t="s">
        <v>25</v>
      </c>
      <c r="T286" s="213" t="s">
        <v>4979</v>
      </c>
      <c r="U286" s="213">
        <v>2820</v>
      </c>
      <c r="V286" s="113">
        <v>319.1096</v>
      </c>
      <c r="W286" s="113">
        <f t="shared" si="69"/>
        <v>899889.07200000004</v>
      </c>
      <c r="X286" s="99" t="s">
        <v>452</v>
      </c>
      <c r="AH286" s="195">
        <v>47</v>
      </c>
      <c r="AI286" s="195" t="s">
        <v>4833</v>
      </c>
      <c r="AJ286" s="196">
        <v>20000</v>
      </c>
      <c r="AK286" s="195">
        <v>4</v>
      </c>
      <c r="AL286" s="195">
        <f t="shared" ref="AL286:AL294" si="78">AK286+AL287</f>
        <v>311</v>
      </c>
      <c r="AM286" s="195">
        <f t="shared" ref="AM286:AM294" si="79">AJ286*AL286</f>
        <v>6220000</v>
      </c>
      <c r="AN286" s="195"/>
    </row>
    <row r="287" spans="17:40">
      <c r="Q287" s="99" t="s">
        <v>4725</v>
      </c>
      <c r="R287" s="95">
        <v>41248054</v>
      </c>
      <c r="S287" t="s">
        <v>25</v>
      </c>
      <c r="T287" s="213" t="s">
        <v>4983</v>
      </c>
      <c r="U287" s="213">
        <v>1145</v>
      </c>
      <c r="V287" s="113">
        <v>325.44</v>
      </c>
      <c r="W287" s="113">
        <f t="shared" si="69"/>
        <v>372628.8</v>
      </c>
      <c r="X287" s="99" t="s">
        <v>452</v>
      </c>
      <c r="AH287" s="195">
        <v>48</v>
      </c>
      <c r="AI287" s="195" t="s">
        <v>4846</v>
      </c>
      <c r="AJ287" s="196">
        <v>30000000</v>
      </c>
      <c r="AK287" s="195">
        <v>27</v>
      </c>
      <c r="AL287" s="195">
        <f t="shared" si="78"/>
        <v>307</v>
      </c>
      <c r="AM287" s="195">
        <f t="shared" si="79"/>
        <v>9210000000</v>
      </c>
      <c r="AN287" s="195" t="s">
        <v>4847</v>
      </c>
    </row>
    <row r="288" spans="17:40">
      <c r="Q288" s="99" t="s">
        <v>4733</v>
      </c>
      <c r="R288" s="95">
        <v>37328780</v>
      </c>
      <c r="T288" s="213" t="s">
        <v>4994</v>
      </c>
      <c r="U288" s="213">
        <v>20153</v>
      </c>
      <c r="V288" s="113">
        <v>322</v>
      </c>
      <c r="W288" s="113">
        <f t="shared" si="69"/>
        <v>6489266</v>
      </c>
      <c r="X288" s="99" t="s">
        <v>452</v>
      </c>
      <c r="AH288" s="20">
        <v>49</v>
      </c>
      <c r="AI288" s="20" t="s">
        <v>4922</v>
      </c>
      <c r="AJ288" s="117">
        <v>1100000</v>
      </c>
      <c r="AK288" s="20">
        <v>1</v>
      </c>
      <c r="AL288" s="20">
        <f t="shared" si="78"/>
        <v>280</v>
      </c>
      <c r="AM288" s="20">
        <f t="shared" si="79"/>
        <v>308000000</v>
      </c>
      <c r="AN288" s="20"/>
    </row>
    <row r="289" spans="16:44">
      <c r="Q289" s="99" t="s">
        <v>4817</v>
      </c>
      <c r="R289" s="95">
        <v>-2194100</v>
      </c>
      <c r="T289" s="213" t="s">
        <v>5007</v>
      </c>
      <c r="U289" s="213">
        <v>93720</v>
      </c>
      <c r="V289" s="113">
        <v>325.435</v>
      </c>
      <c r="W289" s="113">
        <f t="shared" si="69"/>
        <v>30499768.199999999</v>
      </c>
      <c r="X289" s="99" t="s">
        <v>1084</v>
      </c>
      <c r="AH289" s="20">
        <v>50</v>
      </c>
      <c r="AI289" s="20" t="s">
        <v>4924</v>
      </c>
      <c r="AJ289" s="117">
        <v>450000</v>
      </c>
      <c r="AK289" s="20">
        <v>0</v>
      </c>
      <c r="AL289" s="20">
        <f t="shared" si="78"/>
        <v>279</v>
      </c>
      <c r="AM289" s="20">
        <f t="shared" si="79"/>
        <v>125550000</v>
      </c>
      <c r="AN289" s="20"/>
    </row>
    <row r="290" spans="16:44">
      <c r="Q290" s="99" t="s">
        <v>4854</v>
      </c>
      <c r="R290" s="95">
        <v>20193916</v>
      </c>
      <c r="T290" s="213" t="s">
        <v>5007</v>
      </c>
      <c r="U290" s="213">
        <v>20895</v>
      </c>
      <c r="V290" s="113">
        <v>325.435</v>
      </c>
      <c r="W290" s="113">
        <f t="shared" si="69"/>
        <v>6799964.3250000002</v>
      </c>
      <c r="X290" s="99" t="s">
        <v>750</v>
      </c>
      <c r="AH290" s="149">
        <v>51</v>
      </c>
      <c r="AI290" s="149" t="s">
        <v>4924</v>
      </c>
      <c r="AJ290" s="188">
        <v>550000</v>
      </c>
      <c r="AK290" s="149">
        <v>1</v>
      </c>
      <c r="AL290" s="149">
        <f t="shared" si="78"/>
        <v>279</v>
      </c>
      <c r="AM290" s="149">
        <f t="shared" si="79"/>
        <v>153450000</v>
      </c>
      <c r="AN290" s="149"/>
    </row>
    <row r="291" spans="16:44">
      <c r="Q291" s="99" t="s">
        <v>4928</v>
      </c>
      <c r="R291" s="95">
        <v>-2000000</v>
      </c>
      <c r="T291" s="213" t="s">
        <v>5021</v>
      </c>
      <c r="U291" s="213">
        <v>2611</v>
      </c>
      <c r="V291" s="113">
        <v>325.435</v>
      </c>
      <c r="W291" s="113">
        <f t="shared" si="69"/>
        <v>849710.78500000003</v>
      </c>
      <c r="X291" s="99" t="s">
        <v>750</v>
      </c>
      <c r="AH291" s="149">
        <v>52</v>
      </c>
      <c r="AI291" s="149" t="s">
        <v>4926</v>
      </c>
      <c r="AJ291" s="188">
        <v>1000000</v>
      </c>
      <c r="AK291" s="149">
        <v>8</v>
      </c>
      <c r="AL291" s="149">
        <f t="shared" si="78"/>
        <v>278</v>
      </c>
      <c r="AM291" s="149">
        <f t="shared" si="79"/>
        <v>278000000</v>
      </c>
      <c r="AN291" s="149"/>
    </row>
    <row r="292" spans="16:44">
      <c r="Q292" s="99" t="s">
        <v>5007</v>
      </c>
      <c r="R292" s="95">
        <v>6800000</v>
      </c>
      <c r="S292" t="s">
        <v>25</v>
      </c>
      <c r="T292" s="213" t="s">
        <v>5031</v>
      </c>
      <c r="U292" s="213">
        <v>6750</v>
      </c>
      <c r="V292" s="113">
        <v>339.3</v>
      </c>
      <c r="W292" s="113">
        <f t="shared" si="69"/>
        <v>2290275</v>
      </c>
      <c r="X292" s="99" t="s">
        <v>750</v>
      </c>
      <c r="AH292" s="20">
        <v>53</v>
      </c>
      <c r="AI292" s="20" t="s">
        <v>4936</v>
      </c>
      <c r="AJ292" s="117">
        <v>-2668880</v>
      </c>
      <c r="AK292" s="20">
        <v>0</v>
      </c>
      <c r="AL292" s="20">
        <f t="shared" si="78"/>
        <v>270</v>
      </c>
      <c r="AM292" s="20">
        <f t="shared" si="79"/>
        <v>-720597600</v>
      </c>
      <c r="AN292" s="20" t="s">
        <v>4938</v>
      </c>
    </row>
    <row r="293" spans="16:44">
      <c r="Q293" s="99" t="s">
        <v>5021</v>
      </c>
      <c r="R293" s="95">
        <v>850000</v>
      </c>
      <c r="T293" s="213" t="s">
        <v>5047</v>
      </c>
      <c r="U293" s="213">
        <v>1850</v>
      </c>
      <c r="V293" s="113">
        <v>334.10050000000001</v>
      </c>
      <c r="W293" s="113">
        <f t="shared" si="69"/>
        <v>618085.92500000005</v>
      </c>
      <c r="X293" s="99" t="s">
        <v>452</v>
      </c>
      <c r="AH293" s="149">
        <v>54</v>
      </c>
      <c r="AI293" s="149" t="s">
        <v>4936</v>
      </c>
      <c r="AJ293" s="188">
        <v>-1528620</v>
      </c>
      <c r="AK293" s="149">
        <v>0</v>
      </c>
      <c r="AL293" s="149">
        <f t="shared" si="78"/>
        <v>270</v>
      </c>
      <c r="AM293" s="149">
        <f t="shared" si="79"/>
        <v>-412727400</v>
      </c>
      <c r="AN293" s="149" t="s">
        <v>4938</v>
      </c>
    </row>
    <row r="294" spans="16:44">
      <c r="Q294" s="99" t="s">
        <v>5031</v>
      </c>
      <c r="R294" s="95">
        <v>2290500</v>
      </c>
      <c r="T294" s="213" t="s">
        <v>5047</v>
      </c>
      <c r="U294" s="213">
        <v>-1194</v>
      </c>
      <c r="V294" s="113">
        <v>335</v>
      </c>
      <c r="W294" s="113">
        <f t="shared" si="69"/>
        <v>-399990</v>
      </c>
      <c r="X294" s="99" t="s">
        <v>4436</v>
      </c>
      <c r="AH294" s="20">
        <v>55</v>
      </c>
      <c r="AI294" s="20" t="s">
        <v>4936</v>
      </c>
      <c r="AJ294" s="117">
        <v>50000000</v>
      </c>
      <c r="AK294" s="20">
        <v>4</v>
      </c>
      <c r="AL294" s="20">
        <f t="shared" si="78"/>
        <v>270</v>
      </c>
      <c r="AM294" s="20">
        <f t="shared" si="79"/>
        <v>13500000000</v>
      </c>
      <c r="AN294" s="20"/>
    </row>
    <row r="295" spans="16:44">
      <c r="Q295" s="99" t="s">
        <v>5047</v>
      </c>
      <c r="R295" s="95">
        <v>400000</v>
      </c>
      <c r="S295" t="s">
        <v>25</v>
      </c>
      <c r="T295" s="213" t="s">
        <v>5047</v>
      </c>
      <c r="U295" s="213">
        <v>1194</v>
      </c>
      <c r="V295" s="113">
        <v>335</v>
      </c>
      <c r="W295" s="113">
        <f t="shared" si="69"/>
        <v>399990</v>
      </c>
      <c r="X295" s="99" t="s">
        <v>750</v>
      </c>
      <c r="AH295" s="20">
        <v>56</v>
      </c>
      <c r="AI295" s="20" t="s">
        <v>4942</v>
      </c>
      <c r="AJ295" s="117">
        <v>400000</v>
      </c>
      <c r="AK295" s="20">
        <v>4</v>
      </c>
      <c r="AL295" s="20">
        <f t="shared" ref="AL295:AL304" si="80">AK295+AL296</f>
        <v>266</v>
      </c>
      <c r="AM295" s="20">
        <f t="shared" ref="AM295:AM304" si="81">AJ295*AL295</f>
        <v>106400000</v>
      </c>
      <c r="AN295" s="20"/>
    </row>
    <row r="296" spans="16:44">
      <c r="Q296" s="99" t="s">
        <v>5054</v>
      </c>
      <c r="R296" s="95">
        <v>150000</v>
      </c>
      <c r="T296" s="213" t="s">
        <v>5054</v>
      </c>
      <c r="U296" s="213">
        <v>433</v>
      </c>
      <c r="V296" s="113">
        <v>345.68</v>
      </c>
      <c r="W296" s="113">
        <f t="shared" si="69"/>
        <v>149679.44</v>
      </c>
      <c r="X296" s="99" t="s">
        <v>750</v>
      </c>
      <c r="AH296" s="20">
        <v>57</v>
      </c>
      <c r="AI296" s="20" t="s">
        <v>4954</v>
      </c>
      <c r="AJ296" s="117">
        <v>2000000</v>
      </c>
      <c r="AK296" s="20">
        <v>3</v>
      </c>
      <c r="AL296" s="20">
        <f t="shared" si="80"/>
        <v>262</v>
      </c>
      <c r="AM296" s="20">
        <f t="shared" si="81"/>
        <v>524000000</v>
      </c>
      <c r="AN296" s="20"/>
    </row>
    <row r="297" spans="16:44">
      <c r="Q297" s="99" t="s">
        <v>5090</v>
      </c>
      <c r="R297" s="95">
        <v>-144950</v>
      </c>
      <c r="T297" s="213" t="s">
        <v>5061</v>
      </c>
      <c r="U297" s="213">
        <v>55459</v>
      </c>
      <c r="V297" s="113">
        <v>362.51978000000003</v>
      </c>
      <c r="W297" s="113">
        <f t="shared" si="69"/>
        <v>20104984.479020003</v>
      </c>
      <c r="X297" s="99" t="s">
        <v>452</v>
      </c>
      <c r="AH297" s="20">
        <v>58</v>
      </c>
      <c r="AI297" s="20" t="s">
        <v>4957</v>
      </c>
      <c r="AJ297" s="117">
        <v>100000</v>
      </c>
      <c r="AK297" s="20">
        <v>4</v>
      </c>
      <c r="AL297" s="20">
        <f t="shared" si="80"/>
        <v>259</v>
      </c>
      <c r="AM297" s="20">
        <f t="shared" si="81"/>
        <v>25900000</v>
      </c>
      <c r="AN297" s="20" t="s">
        <v>3888</v>
      </c>
    </row>
    <row r="298" spans="16:44">
      <c r="P298" t="s">
        <v>25</v>
      </c>
      <c r="Q298" s="99" t="s">
        <v>5126</v>
      </c>
      <c r="R298" s="95">
        <v>320000</v>
      </c>
      <c r="T298" s="213" t="s">
        <v>5066</v>
      </c>
      <c r="U298" s="213">
        <v>-57212</v>
      </c>
      <c r="V298" s="113">
        <v>368.45400000000001</v>
      </c>
      <c r="W298" s="113">
        <f t="shared" si="69"/>
        <v>-21079990.248</v>
      </c>
      <c r="X298" s="99" t="s">
        <v>452</v>
      </c>
      <c r="AH298" s="20">
        <v>59</v>
      </c>
      <c r="AI298" s="20" t="s">
        <v>4968</v>
      </c>
      <c r="AJ298" s="117">
        <v>100000</v>
      </c>
      <c r="AK298" s="20">
        <v>7</v>
      </c>
      <c r="AL298" s="20">
        <f t="shared" si="80"/>
        <v>255</v>
      </c>
      <c r="AM298" s="20">
        <f t="shared" si="81"/>
        <v>25500000</v>
      </c>
      <c r="AN298" s="20"/>
    </row>
    <row r="299" spans="16:44">
      <c r="Q299" s="99" t="s">
        <v>5130</v>
      </c>
      <c r="R299" s="95">
        <v>500000</v>
      </c>
      <c r="S299" t="s">
        <v>25</v>
      </c>
      <c r="T299" s="213" t="s">
        <v>5067</v>
      </c>
      <c r="U299" s="213">
        <v>-15881</v>
      </c>
      <c r="V299" s="113">
        <v>374.61599999999999</v>
      </c>
      <c r="W299" s="113">
        <f t="shared" si="69"/>
        <v>-5949276.6959999995</v>
      </c>
      <c r="X299" s="99" t="s">
        <v>452</v>
      </c>
      <c r="AH299" s="20">
        <v>60</v>
      </c>
      <c r="AI299" s="20" t="s">
        <v>4983</v>
      </c>
      <c r="AJ299" s="117">
        <v>50000</v>
      </c>
      <c r="AK299" s="20">
        <v>0</v>
      </c>
      <c r="AL299" s="20">
        <f t="shared" si="80"/>
        <v>248</v>
      </c>
      <c r="AM299" s="20">
        <f t="shared" si="81"/>
        <v>12400000</v>
      </c>
      <c r="AN299" s="20"/>
    </row>
    <row r="300" spans="16:44">
      <c r="Q300" s="99" t="s">
        <v>5183</v>
      </c>
      <c r="R300" s="95">
        <v>400000</v>
      </c>
      <c r="S300" t="s">
        <v>25</v>
      </c>
      <c r="T300" s="213" t="s">
        <v>5074</v>
      </c>
      <c r="U300" s="213">
        <v>-41289</v>
      </c>
      <c r="V300" s="113">
        <v>372.27</v>
      </c>
      <c r="W300" s="113">
        <f t="shared" si="69"/>
        <v>-15370656.029999999</v>
      </c>
      <c r="X300" s="99" t="s">
        <v>452</v>
      </c>
      <c r="AH300" s="149">
        <v>61</v>
      </c>
      <c r="AI300" s="149" t="s">
        <v>4983</v>
      </c>
      <c r="AJ300" s="188">
        <v>50000</v>
      </c>
      <c r="AK300" s="149">
        <v>3</v>
      </c>
      <c r="AL300" s="149">
        <f t="shared" si="80"/>
        <v>248</v>
      </c>
      <c r="AM300" s="149">
        <f t="shared" si="81"/>
        <v>12400000</v>
      </c>
      <c r="AN300" s="149"/>
      <c r="AR300" t="s">
        <v>25</v>
      </c>
    </row>
    <row r="301" spans="16:44">
      <c r="Q301" s="99" t="s">
        <v>5186</v>
      </c>
      <c r="R301" s="95">
        <v>50000</v>
      </c>
      <c r="S301" t="s">
        <v>25</v>
      </c>
      <c r="T301" s="213" t="s">
        <v>5081</v>
      </c>
      <c r="U301" s="213">
        <v>13563</v>
      </c>
      <c r="V301" s="113">
        <v>365.69799999999998</v>
      </c>
      <c r="W301" s="113">
        <f t="shared" si="69"/>
        <v>4959961.9739999995</v>
      </c>
      <c r="X301" s="99" t="s">
        <v>452</v>
      </c>
      <c r="AH301" s="20">
        <v>62</v>
      </c>
      <c r="AI301" s="20" t="s">
        <v>4988</v>
      </c>
      <c r="AJ301" s="117">
        <v>50000</v>
      </c>
      <c r="AK301" s="20">
        <v>0</v>
      </c>
      <c r="AL301" s="20">
        <f t="shared" si="80"/>
        <v>245</v>
      </c>
      <c r="AM301" s="20">
        <f t="shared" si="81"/>
        <v>12250000</v>
      </c>
      <c r="AN301" s="20"/>
    </row>
    <row r="302" spans="16:44">
      <c r="Q302" s="99" t="s">
        <v>5196</v>
      </c>
      <c r="R302" s="95">
        <v>300000</v>
      </c>
      <c r="T302" s="213" t="s">
        <v>5081</v>
      </c>
      <c r="U302" s="213">
        <v>27344</v>
      </c>
      <c r="V302" s="113">
        <v>365.69799999999998</v>
      </c>
      <c r="W302" s="113">
        <f t="shared" si="69"/>
        <v>9999646.1119999997</v>
      </c>
      <c r="X302" s="99" t="s">
        <v>452</v>
      </c>
      <c r="Y302" t="s">
        <v>25</v>
      </c>
      <c r="AH302" s="195">
        <v>63</v>
      </c>
      <c r="AI302" s="195" t="s">
        <v>4988</v>
      </c>
      <c r="AJ302" s="196">
        <v>50000</v>
      </c>
      <c r="AK302" s="195">
        <v>2</v>
      </c>
      <c r="AL302" s="195">
        <f t="shared" si="80"/>
        <v>245</v>
      </c>
      <c r="AM302" s="195">
        <f t="shared" si="81"/>
        <v>12250000</v>
      </c>
      <c r="AN302" s="195"/>
    </row>
    <row r="303" spans="16:44" ht="30">
      <c r="Q303" s="99" t="s">
        <v>5230</v>
      </c>
      <c r="R303" s="95">
        <v>250000</v>
      </c>
      <c r="T303" s="213" t="s">
        <v>5090</v>
      </c>
      <c r="U303" s="213">
        <v>-103145</v>
      </c>
      <c r="V303" s="113">
        <v>393.334</v>
      </c>
      <c r="W303" s="113">
        <f t="shared" si="69"/>
        <v>-40570435.43</v>
      </c>
      <c r="X303" s="36" t="s">
        <v>5102</v>
      </c>
      <c r="Y303" t="s">
        <v>25</v>
      </c>
      <c r="AH303" s="20">
        <v>64</v>
      </c>
      <c r="AI303" s="20" t="s">
        <v>4997</v>
      </c>
      <c r="AJ303" s="117">
        <v>25000</v>
      </c>
      <c r="AK303" s="20">
        <v>0</v>
      </c>
      <c r="AL303" s="20">
        <f t="shared" si="80"/>
        <v>243</v>
      </c>
      <c r="AM303" s="20">
        <f t="shared" si="81"/>
        <v>6075000</v>
      </c>
      <c r="AN303" s="20"/>
    </row>
    <row r="304" spans="16:44">
      <c r="Q304" s="99" t="s">
        <v>5270</v>
      </c>
      <c r="R304" s="95">
        <v>200000</v>
      </c>
      <c r="T304" s="213" t="s">
        <v>5090</v>
      </c>
      <c r="U304" s="213">
        <v>-369</v>
      </c>
      <c r="V304" s="113">
        <v>393.334</v>
      </c>
      <c r="W304" s="113">
        <f t="shared" si="69"/>
        <v>-145140.24600000001</v>
      </c>
      <c r="X304" s="36" t="s">
        <v>5187</v>
      </c>
      <c r="AH304" s="149">
        <v>65</v>
      </c>
      <c r="AI304" s="149" t="s">
        <v>4997</v>
      </c>
      <c r="AJ304" s="188">
        <v>35000</v>
      </c>
      <c r="AK304" s="149">
        <v>7</v>
      </c>
      <c r="AL304" s="149">
        <f t="shared" si="80"/>
        <v>243</v>
      </c>
      <c r="AM304" s="149">
        <f t="shared" si="81"/>
        <v>8505000</v>
      </c>
      <c r="AN304" s="149"/>
    </row>
    <row r="305" spans="16:40">
      <c r="Q305" s="99" t="s">
        <v>5316</v>
      </c>
      <c r="R305" s="95">
        <v>122000</v>
      </c>
      <c r="T305" s="213" t="s">
        <v>5090</v>
      </c>
      <c r="U305" s="213">
        <v>-889</v>
      </c>
      <c r="V305" s="113">
        <v>393.334</v>
      </c>
      <c r="W305" s="113">
        <f t="shared" si="69"/>
        <v>-349673.92599999998</v>
      </c>
      <c r="X305" s="36" t="s">
        <v>5188</v>
      </c>
      <c r="AH305" s="149">
        <v>66</v>
      </c>
      <c r="AI305" s="149" t="s">
        <v>5007</v>
      </c>
      <c r="AJ305" s="188">
        <v>30000000</v>
      </c>
      <c r="AK305" s="149">
        <v>0</v>
      </c>
      <c r="AL305" s="149">
        <f t="shared" ref="AL305:AL324" si="82">AK305+AL306</f>
        <v>236</v>
      </c>
      <c r="AM305" s="149">
        <f t="shared" ref="AM305:AM324" si="83">AJ305*AL305</f>
        <v>7080000000</v>
      </c>
      <c r="AN305" s="149"/>
    </row>
    <row r="306" spans="16:40">
      <c r="Q306" s="99" t="s">
        <v>5327</v>
      </c>
      <c r="R306" s="95">
        <v>200000</v>
      </c>
      <c r="S306" t="s">
        <v>25</v>
      </c>
      <c r="T306" s="213" t="s">
        <v>5106</v>
      </c>
      <c r="U306" s="213">
        <v>2546</v>
      </c>
      <c r="V306" s="113">
        <v>393</v>
      </c>
      <c r="W306" s="113">
        <f t="shared" si="69"/>
        <v>1000578</v>
      </c>
      <c r="X306" s="36" t="s">
        <v>452</v>
      </c>
      <c r="AH306" s="20">
        <v>67</v>
      </c>
      <c r="AI306" s="20" t="s">
        <v>5007</v>
      </c>
      <c r="AJ306" s="117">
        <v>6800000</v>
      </c>
      <c r="AK306" s="20">
        <v>1</v>
      </c>
      <c r="AL306" s="20">
        <f t="shared" si="82"/>
        <v>236</v>
      </c>
      <c r="AM306" s="20">
        <f t="shared" si="83"/>
        <v>1604800000</v>
      </c>
      <c r="AN306" s="20"/>
    </row>
    <row r="307" spans="16:40">
      <c r="Q307" s="99" t="s">
        <v>5343</v>
      </c>
      <c r="R307" s="95">
        <v>60000</v>
      </c>
      <c r="T307" s="213" t="s">
        <v>5107</v>
      </c>
      <c r="U307" s="213">
        <v>1034</v>
      </c>
      <c r="V307" s="113">
        <v>386.608</v>
      </c>
      <c r="W307" s="113">
        <f t="shared" si="69"/>
        <v>399752.67200000002</v>
      </c>
      <c r="X307" s="36" t="s">
        <v>452</v>
      </c>
      <c r="AH307" s="20">
        <v>68</v>
      </c>
      <c r="AI307" s="20" t="s">
        <v>5013</v>
      </c>
      <c r="AJ307" s="117">
        <v>500000</v>
      </c>
      <c r="AK307" s="20">
        <v>1</v>
      </c>
      <c r="AL307" s="20">
        <f t="shared" si="82"/>
        <v>235</v>
      </c>
      <c r="AM307" s="20">
        <f t="shared" si="83"/>
        <v>117500000</v>
      </c>
      <c r="AN307" s="20"/>
    </row>
    <row r="308" spans="16:40">
      <c r="P308" t="s">
        <v>25</v>
      </c>
      <c r="Q308" s="99" t="s">
        <v>5408</v>
      </c>
      <c r="R308" s="95">
        <v>-200000</v>
      </c>
      <c r="S308" t="s">
        <v>25</v>
      </c>
      <c r="T308" s="213" t="s">
        <v>5114</v>
      </c>
      <c r="U308" s="213">
        <v>300</v>
      </c>
      <c r="V308" s="113">
        <v>400</v>
      </c>
      <c r="W308" s="113">
        <f t="shared" si="69"/>
        <v>120000</v>
      </c>
      <c r="X308" s="36" t="s">
        <v>452</v>
      </c>
      <c r="AH308" s="20">
        <v>69</v>
      </c>
      <c r="AI308" s="20" t="s">
        <v>5021</v>
      </c>
      <c r="AJ308" s="117">
        <v>850000</v>
      </c>
      <c r="AK308" s="20">
        <v>5</v>
      </c>
      <c r="AL308" s="20">
        <f t="shared" si="82"/>
        <v>234</v>
      </c>
      <c r="AM308" s="20">
        <f t="shared" si="83"/>
        <v>198900000</v>
      </c>
      <c r="AN308" s="20"/>
    </row>
    <row r="309" spans="16:40">
      <c r="P309" t="s">
        <v>25</v>
      </c>
      <c r="Q309" s="99"/>
      <c r="R309" s="95"/>
      <c r="T309" s="213" t="s">
        <v>5126</v>
      </c>
      <c r="U309" s="213">
        <v>782</v>
      </c>
      <c r="V309" s="113">
        <v>409</v>
      </c>
      <c r="W309" s="113">
        <f t="shared" si="69"/>
        <v>319838</v>
      </c>
      <c r="X309" s="36" t="s">
        <v>750</v>
      </c>
      <c r="AH309" s="20">
        <v>70</v>
      </c>
      <c r="AI309" s="20" t="s">
        <v>5031</v>
      </c>
      <c r="AJ309" s="117">
        <v>1130250</v>
      </c>
      <c r="AK309" s="20">
        <v>0</v>
      </c>
      <c r="AL309" s="20">
        <f t="shared" si="82"/>
        <v>229</v>
      </c>
      <c r="AM309" s="20">
        <f t="shared" si="83"/>
        <v>258827250</v>
      </c>
      <c r="AN309" s="20"/>
    </row>
    <row r="310" spans="16:40">
      <c r="Q310" s="99"/>
      <c r="R310" s="95"/>
      <c r="T310" s="213" t="s">
        <v>5130</v>
      </c>
      <c r="U310" s="213">
        <v>1220</v>
      </c>
      <c r="V310" s="113">
        <v>409.9</v>
      </c>
      <c r="W310" s="113">
        <f t="shared" si="69"/>
        <v>500078</v>
      </c>
      <c r="X310" s="36" t="s">
        <v>750</v>
      </c>
      <c r="AH310" s="260">
        <v>71</v>
      </c>
      <c r="AI310" s="260" t="s">
        <v>5031</v>
      </c>
      <c r="AJ310" s="251">
        <v>30000</v>
      </c>
      <c r="AK310" s="260">
        <v>5</v>
      </c>
      <c r="AL310" s="260">
        <f t="shared" si="82"/>
        <v>229</v>
      </c>
      <c r="AM310" s="260">
        <f t="shared" si="83"/>
        <v>6870000</v>
      </c>
      <c r="AN310" s="260"/>
    </row>
    <row r="311" spans="16:40">
      <c r="Q311" s="99"/>
      <c r="R311" s="95"/>
      <c r="T311" s="213" t="s">
        <v>5132</v>
      </c>
      <c r="U311" s="213">
        <v>1285</v>
      </c>
      <c r="V311" s="113">
        <v>388.84</v>
      </c>
      <c r="W311" s="113">
        <f t="shared" si="69"/>
        <v>499659.39999999997</v>
      </c>
      <c r="X311" s="36" t="s">
        <v>452</v>
      </c>
      <c r="AH311" s="20">
        <v>72</v>
      </c>
      <c r="AI311" s="20" t="s">
        <v>5047</v>
      </c>
      <c r="AJ311" s="117">
        <v>206000</v>
      </c>
      <c r="AK311" s="20">
        <v>0</v>
      </c>
      <c r="AL311" s="20">
        <f t="shared" si="82"/>
        <v>224</v>
      </c>
      <c r="AM311" s="20">
        <f t="shared" si="83"/>
        <v>46144000</v>
      </c>
      <c r="AN311" s="20"/>
    </row>
    <row r="312" spans="16:40">
      <c r="Q312" s="99"/>
      <c r="R312" s="95">
        <f>SUM(R269:R311)</f>
        <v>436783825</v>
      </c>
      <c r="S312" t="s">
        <v>25</v>
      </c>
      <c r="T312" s="213" t="s">
        <v>5119</v>
      </c>
      <c r="U312" s="213">
        <v>1924</v>
      </c>
      <c r="V312" s="113">
        <v>386.69600000000003</v>
      </c>
      <c r="W312" s="113">
        <f t="shared" si="69"/>
        <v>744003.10400000005</v>
      </c>
      <c r="X312" s="36" t="s">
        <v>452</v>
      </c>
      <c r="AH312" s="149">
        <v>73</v>
      </c>
      <c r="AI312" s="149" t="s">
        <v>5047</v>
      </c>
      <c r="AJ312" s="188">
        <v>206000</v>
      </c>
      <c r="AK312" s="149">
        <v>2</v>
      </c>
      <c r="AL312" s="149">
        <f t="shared" si="82"/>
        <v>224</v>
      </c>
      <c r="AM312" s="149">
        <f t="shared" si="83"/>
        <v>46144000</v>
      </c>
      <c r="AN312" s="149"/>
    </row>
    <row r="313" spans="16:40">
      <c r="Q313" s="99"/>
      <c r="R313" s="99" t="s">
        <v>6</v>
      </c>
      <c r="S313" t="s">
        <v>25</v>
      </c>
      <c r="T313" s="213" t="s">
        <v>5148</v>
      </c>
      <c r="U313" s="213">
        <v>165</v>
      </c>
      <c r="V313" s="113">
        <v>393.5</v>
      </c>
      <c r="W313" s="113">
        <f t="shared" si="69"/>
        <v>64927.5</v>
      </c>
      <c r="X313" s="36" t="s">
        <v>452</v>
      </c>
      <c r="AH313" s="20">
        <v>74</v>
      </c>
      <c r="AI313" s="20" t="s">
        <v>5054</v>
      </c>
      <c r="AJ313" s="117">
        <v>50000</v>
      </c>
      <c r="AK313" s="20">
        <v>0</v>
      </c>
      <c r="AL313" s="20">
        <f t="shared" si="82"/>
        <v>222</v>
      </c>
      <c r="AM313" s="20">
        <f t="shared" si="83"/>
        <v>11100000</v>
      </c>
      <c r="AN313" s="20"/>
    </row>
    <row r="314" spans="16:40" ht="30">
      <c r="R314" t="s">
        <v>25</v>
      </c>
      <c r="T314" s="213" t="s">
        <v>5156</v>
      </c>
      <c r="U314" s="213">
        <v>-34859</v>
      </c>
      <c r="V314" s="113">
        <v>403.1585</v>
      </c>
      <c r="W314" s="113">
        <f t="shared" si="69"/>
        <v>-14053702.1515</v>
      </c>
      <c r="X314" s="36" t="s">
        <v>5160</v>
      </c>
      <c r="AH314" s="260">
        <v>75</v>
      </c>
      <c r="AI314" s="260" t="s">
        <v>5054</v>
      </c>
      <c r="AJ314" s="251">
        <v>50000</v>
      </c>
      <c r="AK314" s="260">
        <v>2</v>
      </c>
      <c r="AL314" s="260">
        <f t="shared" si="82"/>
        <v>222</v>
      </c>
      <c r="AM314" s="260">
        <f t="shared" si="83"/>
        <v>11100000</v>
      </c>
      <c r="AN314" s="260"/>
    </row>
    <row r="315" spans="16:40">
      <c r="T315" s="213" t="s">
        <v>5120</v>
      </c>
      <c r="U315" s="213">
        <v>8476</v>
      </c>
      <c r="V315" s="113">
        <v>419.49900000000002</v>
      </c>
      <c r="W315" s="113">
        <f t="shared" si="69"/>
        <v>3555673.5240000002</v>
      </c>
      <c r="X315" s="36" t="s">
        <v>5167</v>
      </c>
      <c r="AH315" s="20">
        <v>76</v>
      </c>
      <c r="AI315" s="20" t="s">
        <v>5061</v>
      </c>
      <c r="AJ315" s="117">
        <v>20000000</v>
      </c>
      <c r="AK315" s="20">
        <v>7</v>
      </c>
      <c r="AL315" s="20">
        <f t="shared" si="82"/>
        <v>220</v>
      </c>
      <c r="AM315" s="20">
        <f t="shared" si="83"/>
        <v>4400000000</v>
      </c>
      <c r="AN315" s="20" t="s">
        <v>5062</v>
      </c>
    </row>
    <row r="316" spans="16:40">
      <c r="Q316" s="99" t="s">
        <v>452</v>
      </c>
      <c r="R316" s="99"/>
      <c r="T316" s="213" t="s">
        <v>5183</v>
      </c>
      <c r="U316" s="213">
        <v>903</v>
      </c>
      <c r="V316" s="113">
        <v>442.77379999999999</v>
      </c>
      <c r="W316" s="113">
        <f t="shared" si="69"/>
        <v>399824.7414</v>
      </c>
      <c r="X316" s="36" t="s">
        <v>750</v>
      </c>
      <c r="AH316" s="20">
        <v>77</v>
      </c>
      <c r="AI316" s="20" t="s">
        <v>5074</v>
      </c>
      <c r="AJ316" s="117">
        <v>50000</v>
      </c>
      <c r="AK316" s="20">
        <v>0</v>
      </c>
      <c r="AL316" s="20">
        <f t="shared" si="82"/>
        <v>213</v>
      </c>
      <c r="AM316" s="20">
        <f t="shared" si="83"/>
        <v>10650000</v>
      </c>
      <c r="AN316" s="20"/>
    </row>
    <row r="317" spans="16:40">
      <c r="Q317" s="99" t="s">
        <v>4429</v>
      </c>
      <c r="R317" s="95">
        <v>63115000</v>
      </c>
      <c r="T317" s="213" t="s">
        <v>5186</v>
      </c>
      <c r="U317" s="213">
        <v>113</v>
      </c>
      <c r="V317" s="113">
        <v>442.48200000000003</v>
      </c>
      <c r="W317" s="113">
        <f t="shared" ref="W317:W361" si="84">U317*V317</f>
        <v>50000.466</v>
      </c>
      <c r="X317" s="36" t="s">
        <v>750</v>
      </c>
      <c r="AH317" s="149">
        <v>78</v>
      </c>
      <c r="AI317" s="149" t="s">
        <v>5074</v>
      </c>
      <c r="AJ317" s="188">
        <v>50000</v>
      </c>
      <c r="AK317" s="149">
        <v>7</v>
      </c>
      <c r="AL317" s="149">
        <f t="shared" si="82"/>
        <v>213</v>
      </c>
      <c r="AM317" s="149">
        <f t="shared" si="83"/>
        <v>10650000</v>
      </c>
      <c r="AN317" s="149"/>
    </row>
    <row r="318" spans="16:40">
      <c r="Q318" s="99" t="s">
        <v>4482</v>
      </c>
      <c r="R318" s="95">
        <v>13300000</v>
      </c>
      <c r="T318" s="213" t="s">
        <v>5196</v>
      </c>
      <c r="U318" s="213">
        <v>671</v>
      </c>
      <c r="V318" s="113">
        <v>447</v>
      </c>
      <c r="W318" s="113">
        <f t="shared" si="84"/>
        <v>299937</v>
      </c>
      <c r="X318" s="36" t="s">
        <v>750</v>
      </c>
      <c r="Y318" t="s">
        <v>25</v>
      </c>
      <c r="AH318" s="20">
        <v>79</v>
      </c>
      <c r="AI318" s="20" t="s">
        <v>5081</v>
      </c>
      <c r="AJ318" s="117">
        <v>2480000</v>
      </c>
      <c r="AK318" s="20">
        <v>0</v>
      </c>
      <c r="AL318" s="20">
        <f t="shared" si="82"/>
        <v>206</v>
      </c>
      <c r="AM318" s="20">
        <f t="shared" si="83"/>
        <v>510880000</v>
      </c>
      <c r="AN318" s="20"/>
    </row>
    <row r="319" spans="16:40">
      <c r="Q319" s="99" t="s">
        <v>4490</v>
      </c>
      <c r="R319" s="95">
        <v>2269000</v>
      </c>
      <c r="T319" s="213" t="s">
        <v>5198</v>
      </c>
      <c r="U319" s="213">
        <v>7</v>
      </c>
      <c r="V319" s="113">
        <v>465.31200000000001</v>
      </c>
      <c r="W319" s="113">
        <f t="shared" si="84"/>
        <v>3257.1840000000002</v>
      </c>
      <c r="X319" s="36" t="s">
        <v>452</v>
      </c>
      <c r="AH319" s="149">
        <v>80</v>
      </c>
      <c r="AI319" s="149" t="s">
        <v>5081</v>
      </c>
      <c r="AJ319" s="188">
        <v>2480000</v>
      </c>
      <c r="AK319" s="149">
        <v>12</v>
      </c>
      <c r="AL319" s="149">
        <f t="shared" si="82"/>
        <v>206</v>
      </c>
      <c r="AM319" s="149">
        <f t="shared" si="83"/>
        <v>510880000</v>
      </c>
      <c r="AN319" s="149"/>
    </row>
    <row r="320" spans="16:40">
      <c r="Q320" s="99" t="s">
        <v>4605</v>
      </c>
      <c r="R320" s="95">
        <v>25071612</v>
      </c>
      <c r="T320" s="213" t="s">
        <v>5207</v>
      </c>
      <c r="U320" s="213">
        <v>12950</v>
      </c>
      <c r="V320" s="113">
        <v>463.31599999999997</v>
      </c>
      <c r="W320" s="113">
        <f t="shared" si="84"/>
        <v>5999942.1999999993</v>
      </c>
      <c r="X320" s="36" t="s">
        <v>452</v>
      </c>
      <c r="AH320" s="20">
        <v>81</v>
      </c>
      <c r="AI320" s="20" t="s">
        <v>5090</v>
      </c>
      <c r="AJ320" s="117">
        <v>-24159500</v>
      </c>
      <c r="AK320" s="20">
        <v>4</v>
      </c>
      <c r="AL320" s="20">
        <f t="shared" si="82"/>
        <v>194</v>
      </c>
      <c r="AM320" s="20">
        <f t="shared" si="83"/>
        <v>-4686943000</v>
      </c>
      <c r="AN320" s="20" t="s">
        <v>5105</v>
      </c>
    </row>
    <row r="321" spans="17:44">
      <c r="Q321" s="99" t="s">
        <v>4614</v>
      </c>
      <c r="R321" s="95">
        <v>42236984</v>
      </c>
      <c r="T321" s="213" t="s">
        <v>5212</v>
      </c>
      <c r="U321" s="213">
        <v>37</v>
      </c>
      <c r="V321" s="113">
        <v>463.315</v>
      </c>
      <c r="W321" s="113">
        <f t="shared" si="84"/>
        <v>17142.654999999999</v>
      </c>
      <c r="X321" s="36" t="s">
        <v>452</v>
      </c>
      <c r="AH321" s="20">
        <v>82</v>
      </c>
      <c r="AI321" s="20" t="s">
        <v>5107</v>
      </c>
      <c r="AJ321" s="117">
        <v>400000</v>
      </c>
      <c r="AK321" s="20">
        <v>3</v>
      </c>
      <c r="AL321" s="20">
        <f t="shared" si="82"/>
        <v>190</v>
      </c>
      <c r="AM321" s="20">
        <f t="shared" si="83"/>
        <v>76000000</v>
      </c>
      <c r="AN321" s="20"/>
    </row>
    <row r="322" spans="17:44">
      <c r="Q322" s="99" t="s">
        <v>4615</v>
      </c>
      <c r="R322" s="95">
        <v>19663646</v>
      </c>
      <c r="T322" s="213" t="s">
        <v>5213</v>
      </c>
      <c r="U322" s="213">
        <v>19</v>
      </c>
      <c r="V322" s="113">
        <v>434.3</v>
      </c>
      <c r="W322" s="113">
        <f t="shared" si="84"/>
        <v>8251.7000000000007</v>
      </c>
      <c r="X322" s="36" t="s">
        <v>452</v>
      </c>
      <c r="AH322" s="149">
        <v>83</v>
      </c>
      <c r="AI322" s="149" t="s">
        <v>5114</v>
      </c>
      <c r="AJ322" s="188">
        <v>40000</v>
      </c>
      <c r="AK322" s="149">
        <v>0</v>
      </c>
      <c r="AL322" s="149">
        <f t="shared" si="82"/>
        <v>187</v>
      </c>
      <c r="AM322" s="149">
        <f t="shared" si="83"/>
        <v>7480000</v>
      </c>
      <c r="AN322" s="149"/>
    </row>
    <row r="323" spans="17:44">
      <c r="Q323" s="99" t="s">
        <v>4638</v>
      </c>
      <c r="R323" s="95">
        <v>4374525</v>
      </c>
      <c r="T323" s="213" t="s">
        <v>5215</v>
      </c>
      <c r="U323" s="213">
        <v>16</v>
      </c>
      <c r="V323" s="113">
        <v>439</v>
      </c>
      <c r="W323" s="113">
        <f t="shared" si="84"/>
        <v>7024</v>
      </c>
      <c r="X323" s="36" t="s">
        <v>452</v>
      </c>
      <c r="AH323" s="20">
        <v>84</v>
      </c>
      <c r="AI323" s="20" t="s">
        <v>5114</v>
      </c>
      <c r="AJ323" s="117">
        <v>40000</v>
      </c>
      <c r="AK323" s="20">
        <v>5</v>
      </c>
      <c r="AL323" s="20">
        <f t="shared" si="82"/>
        <v>187</v>
      </c>
      <c r="AM323" s="20">
        <f t="shared" si="83"/>
        <v>7480000</v>
      </c>
      <c r="AN323" s="20"/>
    </row>
    <row r="324" spans="17:44" ht="45">
      <c r="Q324" s="99" t="s">
        <v>4650</v>
      </c>
      <c r="R324" s="95">
        <v>6550580</v>
      </c>
      <c r="T324" s="213" t="s">
        <v>5215</v>
      </c>
      <c r="U324" s="213">
        <v>9191</v>
      </c>
      <c r="V324" s="113">
        <v>440.24630000000002</v>
      </c>
      <c r="W324" s="113">
        <f t="shared" si="84"/>
        <v>4046303.7433000002</v>
      </c>
      <c r="X324" s="36" t="s">
        <v>5217</v>
      </c>
      <c r="Y324" t="s">
        <v>25</v>
      </c>
      <c r="AH324" s="20">
        <v>85</v>
      </c>
      <c r="AI324" s="20" t="s">
        <v>5126</v>
      </c>
      <c r="AJ324" s="117">
        <v>200000</v>
      </c>
      <c r="AK324" s="20">
        <v>1</v>
      </c>
      <c r="AL324" s="20">
        <f t="shared" si="82"/>
        <v>182</v>
      </c>
      <c r="AM324" s="20">
        <f t="shared" si="83"/>
        <v>36400000</v>
      </c>
      <c r="AN324" s="20"/>
    </row>
    <row r="325" spans="17:44">
      <c r="Q325" s="99" t="s">
        <v>4652</v>
      </c>
      <c r="R325" s="95">
        <v>7054895</v>
      </c>
      <c r="T325" s="213" t="s">
        <v>5219</v>
      </c>
      <c r="U325" s="213">
        <v>-8792</v>
      </c>
      <c r="V325" s="113">
        <v>441.90665999999999</v>
      </c>
      <c r="W325" s="113">
        <f t="shared" si="84"/>
        <v>-3885243.3547199997</v>
      </c>
      <c r="X325" s="36" t="s">
        <v>5220</v>
      </c>
      <c r="AH325" s="20">
        <v>86</v>
      </c>
      <c r="AI325" s="20" t="s">
        <v>5130</v>
      </c>
      <c r="AJ325" s="117">
        <v>500000</v>
      </c>
      <c r="AK325" s="20">
        <v>2</v>
      </c>
      <c r="AL325" s="20">
        <f t="shared" ref="AL325:AL375" si="85">AK325+AL326</f>
        <v>181</v>
      </c>
      <c r="AM325" s="20">
        <f t="shared" ref="AM325:AM375" si="86">AJ325*AL325</f>
        <v>90500000</v>
      </c>
      <c r="AN325" s="20"/>
    </row>
    <row r="326" spans="17:44">
      <c r="Q326" s="99" t="s">
        <v>4672</v>
      </c>
      <c r="R326" s="95">
        <v>2145814</v>
      </c>
      <c r="T326" s="189" t="s">
        <v>5224</v>
      </c>
      <c r="U326" s="189">
        <v>24374</v>
      </c>
      <c r="V326" s="188">
        <v>471.81700000000001</v>
      </c>
      <c r="W326" s="188">
        <f t="shared" si="84"/>
        <v>11500067.558</v>
      </c>
      <c r="X326" s="286" t="s">
        <v>5228</v>
      </c>
      <c r="AH326" s="20">
        <v>87</v>
      </c>
      <c r="AI326" s="20" t="s">
        <v>5132</v>
      </c>
      <c r="AJ326" s="117">
        <v>500000</v>
      </c>
      <c r="AK326" s="20">
        <v>3</v>
      </c>
      <c r="AL326" s="20">
        <f t="shared" si="85"/>
        <v>179</v>
      </c>
      <c r="AM326" s="20">
        <f t="shared" si="86"/>
        <v>89500000</v>
      </c>
      <c r="AN326" s="20"/>
    </row>
    <row r="327" spans="17:44">
      <c r="Q327" s="99" t="s">
        <v>4683</v>
      </c>
      <c r="R327" s="95">
        <v>4369730</v>
      </c>
      <c r="T327" s="213" t="s">
        <v>5230</v>
      </c>
      <c r="U327" s="213">
        <v>530</v>
      </c>
      <c r="V327" s="113">
        <v>472</v>
      </c>
      <c r="W327" s="113">
        <f t="shared" si="84"/>
        <v>250160</v>
      </c>
      <c r="X327" s="36" t="s">
        <v>750</v>
      </c>
      <c r="AH327" s="20">
        <v>88</v>
      </c>
      <c r="AI327" s="20" t="s">
        <v>5119</v>
      </c>
      <c r="AJ327" s="117">
        <v>250000</v>
      </c>
      <c r="AK327" s="20">
        <v>0</v>
      </c>
      <c r="AL327" s="20">
        <f t="shared" si="85"/>
        <v>176</v>
      </c>
      <c r="AM327" s="20">
        <f t="shared" si="86"/>
        <v>44000000</v>
      </c>
      <c r="AN327" s="20"/>
    </row>
    <row r="328" spans="17:44" ht="30">
      <c r="Q328" s="99" t="s">
        <v>4685</v>
      </c>
      <c r="R328" s="95">
        <v>8739459</v>
      </c>
      <c r="T328" s="213" t="s">
        <v>5230</v>
      </c>
      <c r="U328" s="213">
        <v>12</v>
      </c>
      <c r="V328" s="113">
        <v>481.86</v>
      </c>
      <c r="W328" s="113">
        <f t="shared" si="84"/>
        <v>5782.32</v>
      </c>
      <c r="X328" s="36" t="s">
        <v>5234</v>
      </c>
      <c r="AH328" s="260">
        <v>89</v>
      </c>
      <c r="AI328" s="260" t="s">
        <v>5119</v>
      </c>
      <c r="AJ328" s="251">
        <v>245000</v>
      </c>
      <c r="AK328" s="260">
        <v>16</v>
      </c>
      <c r="AL328" s="260">
        <f t="shared" si="85"/>
        <v>176</v>
      </c>
      <c r="AM328" s="260">
        <f t="shared" si="86"/>
        <v>43120000</v>
      </c>
      <c r="AN328" s="260"/>
    </row>
    <row r="329" spans="17:44">
      <c r="Q329" s="99" t="s">
        <v>4694</v>
      </c>
      <c r="R329" s="95">
        <v>6667654</v>
      </c>
      <c r="T329" s="189" t="s">
        <v>5257</v>
      </c>
      <c r="U329" s="189">
        <v>12330</v>
      </c>
      <c r="V329" s="188">
        <v>486.63443869999998</v>
      </c>
      <c r="W329" s="188">
        <f t="shared" si="84"/>
        <v>6000202.6291709999</v>
      </c>
      <c r="X329" s="286" t="s">
        <v>5228</v>
      </c>
      <c r="AH329" s="20">
        <v>90</v>
      </c>
      <c r="AI329" s="20" t="s">
        <v>5161</v>
      </c>
      <c r="AJ329" s="117">
        <v>312598</v>
      </c>
      <c r="AK329" s="20">
        <v>0</v>
      </c>
      <c r="AL329" s="20">
        <f t="shared" si="85"/>
        <v>160</v>
      </c>
      <c r="AM329" s="20">
        <f t="shared" si="86"/>
        <v>50015680</v>
      </c>
      <c r="AN329" s="20"/>
    </row>
    <row r="330" spans="17:44">
      <c r="Q330" s="99" t="s">
        <v>3681</v>
      </c>
      <c r="R330" s="95">
        <v>8981245</v>
      </c>
      <c r="T330" s="213" t="s">
        <v>5261</v>
      </c>
      <c r="U330" s="213">
        <v>846</v>
      </c>
      <c r="V330" s="113">
        <v>472.7</v>
      </c>
      <c r="W330" s="113">
        <f t="shared" si="84"/>
        <v>399904.2</v>
      </c>
      <c r="X330" s="36" t="s">
        <v>452</v>
      </c>
      <c r="AH330" s="20">
        <v>91</v>
      </c>
      <c r="AI330" s="20" t="s">
        <v>5161</v>
      </c>
      <c r="AJ330" s="117">
        <v>780000</v>
      </c>
      <c r="AK330" s="20">
        <v>0</v>
      </c>
      <c r="AL330" s="20">
        <f t="shared" si="85"/>
        <v>160</v>
      </c>
      <c r="AM330" s="20">
        <f t="shared" si="86"/>
        <v>124800000</v>
      </c>
      <c r="AN330" s="20"/>
    </row>
    <row r="331" spans="17:44">
      <c r="Q331" s="99" t="s">
        <v>4707</v>
      </c>
      <c r="R331" s="95">
        <v>9181756</v>
      </c>
      <c r="T331" s="189" t="s">
        <v>5261</v>
      </c>
      <c r="U331" s="189">
        <v>3173</v>
      </c>
      <c r="V331" s="188">
        <v>472.7</v>
      </c>
      <c r="W331" s="188">
        <f t="shared" si="84"/>
        <v>1499877.0999999999</v>
      </c>
      <c r="X331" s="286" t="s">
        <v>5422</v>
      </c>
      <c r="AH331" s="195">
        <v>92</v>
      </c>
      <c r="AI331" s="195" t="s">
        <v>5161</v>
      </c>
      <c r="AJ331" s="196">
        <v>-300000</v>
      </c>
      <c r="AK331" s="195">
        <v>1</v>
      </c>
      <c r="AL331" s="195">
        <f t="shared" si="85"/>
        <v>160</v>
      </c>
      <c r="AM331" s="195">
        <f t="shared" si="86"/>
        <v>-48000000</v>
      </c>
      <c r="AN331" s="195"/>
    </row>
    <row r="332" spans="17:44">
      <c r="Q332" s="99" t="s">
        <v>4711</v>
      </c>
      <c r="R332" s="95">
        <v>11811208</v>
      </c>
      <c r="T332" s="213" t="s">
        <v>5266</v>
      </c>
      <c r="U332" s="213">
        <v>191</v>
      </c>
      <c r="V332" s="113">
        <v>484.572</v>
      </c>
      <c r="W332" s="113">
        <f t="shared" si="84"/>
        <v>92553.252000000008</v>
      </c>
      <c r="X332" s="36" t="s">
        <v>5267</v>
      </c>
      <c r="Z332" t="s">
        <v>25</v>
      </c>
      <c r="AH332" s="20">
        <v>93</v>
      </c>
      <c r="AI332" s="20" t="s">
        <v>5120</v>
      </c>
      <c r="AJ332" s="117">
        <v>300000</v>
      </c>
      <c r="AK332" s="20">
        <v>0</v>
      </c>
      <c r="AL332" s="20">
        <f t="shared" si="85"/>
        <v>159</v>
      </c>
      <c r="AM332" s="20">
        <f t="shared" si="86"/>
        <v>47700000</v>
      </c>
      <c r="AN332" s="20"/>
      <c r="AR332" t="s">
        <v>25</v>
      </c>
    </row>
    <row r="333" spans="17:44">
      <c r="Q333" s="99" t="s">
        <v>4725</v>
      </c>
      <c r="R333" s="95">
        <v>41248054</v>
      </c>
      <c r="T333" s="213" t="s">
        <v>5266</v>
      </c>
      <c r="U333" s="213">
        <v>-206</v>
      </c>
      <c r="V333" s="113">
        <v>484.572</v>
      </c>
      <c r="W333" s="113">
        <f t="shared" si="84"/>
        <v>-99821.831999999995</v>
      </c>
      <c r="X333" s="36" t="s">
        <v>5269</v>
      </c>
      <c r="AH333" s="20">
        <v>94</v>
      </c>
      <c r="AI333" s="20" t="s">
        <v>5120</v>
      </c>
      <c r="AJ333" s="117">
        <v>8660000</v>
      </c>
      <c r="AK333" s="20">
        <v>8</v>
      </c>
      <c r="AL333" s="20">
        <f t="shared" si="85"/>
        <v>159</v>
      </c>
      <c r="AM333" s="20">
        <f t="shared" si="86"/>
        <v>1376940000</v>
      </c>
      <c r="AN333" s="20"/>
    </row>
    <row r="334" spans="17:44">
      <c r="Q334" s="99" t="s">
        <v>4733</v>
      </c>
      <c r="R334" s="95">
        <v>37328780</v>
      </c>
      <c r="T334" s="213" t="s">
        <v>5270</v>
      </c>
      <c r="U334" s="213">
        <v>20685</v>
      </c>
      <c r="V334" s="113">
        <v>483.43312200000003</v>
      </c>
      <c r="W334" s="113">
        <f t="shared" si="84"/>
        <v>9999814.1285699997</v>
      </c>
      <c r="X334" s="36" t="s">
        <v>5274</v>
      </c>
      <c r="AH334" s="149">
        <v>95</v>
      </c>
      <c r="AI334" s="149" t="s">
        <v>5183</v>
      </c>
      <c r="AJ334" s="188">
        <v>200000</v>
      </c>
      <c r="AK334" s="149">
        <v>3</v>
      </c>
      <c r="AL334" s="149">
        <f t="shared" si="85"/>
        <v>151</v>
      </c>
      <c r="AM334" s="149">
        <f t="shared" si="86"/>
        <v>30200000</v>
      </c>
      <c r="AN334" s="149"/>
    </row>
    <row r="335" spans="17:44">
      <c r="Q335" s="99" t="s">
        <v>4740</v>
      </c>
      <c r="R335" s="95">
        <v>50000000</v>
      </c>
      <c r="T335" s="213" t="s">
        <v>5270</v>
      </c>
      <c r="U335" s="213">
        <v>-413</v>
      </c>
      <c r="V335" s="113">
        <v>483.40199999999999</v>
      </c>
      <c r="W335" s="113">
        <f t="shared" si="84"/>
        <v>-199645.02599999998</v>
      </c>
      <c r="X335" s="36" t="s">
        <v>4436</v>
      </c>
      <c r="AH335" s="149">
        <v>96</v>
      </c>
      <c r="AI335" s="149" t="s">
        <v>5186</v>
      </c>
      <c r="AJ335" s="188">
        <v>20000</v>
      </c>
      <c r="AK335" s="149">
        <v>1</v>
      </c>
      <c r="AL335" s="149">
        <f t="shared" si="85"/>
        <v>148</v>
      </c>
      <c r="AM335" s="149">
        <f t="shared" si="86"/>
        <v>2960000</v>
      </c>
      <c r="AN335" s="149"/>
    </row>
    <row r="336" spans="17:44">
      <c r="Q336" s="99" t="s">
        <v>4803</v>
      </c>
      <c r="R336" s="95">
        <v>68656</v>
      </c>
      <c r="T336" s="213" t="s">
        <v>5270</v>
      </c>
      <c r="U336" s="213">
        <v>413</v>
      </c>
      <c r="V336" s="113">
        <v>483.40199999999999</v>
      </c>
      <c r="W336" s="113">
        <f t="shared" si="84"/>
        <v>199645.02599999998</v>
      </c>
      <c r="X336" s="36" t="s">
        <v>750</v>
      </c>
      <c r="AA336" t="s">
        <v>25</v>
      </c>
      <c r="AH336" s="20">
        <v>97</v>
      </c>
      <c r="AI336" s="20" t="s">
        <v>5196</v>
      </c>
      <c r="AJ336" s="117">
        <v>14340000</v>
      </c>
      <c r="AK336" s="20">
        <v>7</v>
      </c>
      <c r="AL336" s="20">
        <f t="shared" si="85"/>
        <v>147</v>
      </c>
      <c r="AM336" s="20">
        <f t="shared" si="86"/>
        <v>2107980000</v>
      </c>
      <c r="AN336" s="20"/>
      <c r="AR336" t="s">
        <v>25</v>
      </c>
    </row>
    <row r="337" spans="17:46">
      <c r="Q337" s="99" t="s">
        <v>4812</v>
      </c>
      <c r="R337" s="95">
        <v>4000236</v>
      </c>
      <c r="T337" s="213" t="s">
        <v>5277</v>
      </c>
      <c r="U337" s="213">
        <v>-828</v>
      </c>
      <c r="V337" s="113">
        <v>483.43312200000003</v>
      </c>
      <c r="W337" s="113">
        <f t="shared" si="84"/>
        <v>-400282.62501600001</v>
      </c>
      <c r="X337" s="36" t="s">
        <v>452</v>
      </c>
      <c r="AH337" s="20">
        <v>98</v>
      </c>
      <c r="AI337" s="20" t="s">
        <v>5207</v>
      </c>
      <c r="AJ337" s="117">
        <v>10000000</v>
      </c>
      <c r="AK337" s="20">
        <v>6</v>
      </c>
      <c r="AL337" s="20">
        <f t="shared" si="85"/>
        <v>140</v>
      </c>
      <c r="AM337" s="20">
        <f t="shared" si="86"/>
        <v>1400000000</v>
      </c>
      <c r="AN337" s="20" t="s">
        <v>4742</v>
      </c>
      <c r="AS337" t="s">
        <v>25</v>
      </c>
    </row>
    <row r="338" spans="17:46">
      <c r="Q338" s="99" t="s">
        <v>4812</v>
      </c>
      <c r="R338" s="95">
        <v>2250000</v>
      </c>
      <c r="T338" s="213" t="s">
        <v>5281</v>
      </c>
      <c r="U338" s="213">
        <v>12</v>
      </c>
      <c r="V338" s="113">
        <v>473.61898300000001</v>
      </c>
      <c r="W338" s="113">
        <f t="shared" si="84"/>
        <v>5683.4277959999999</v>
      </c>
      <c r="X338" s="36" t="s">
        <v>452</v>
      </c>
      <c r="AH338" s="20">
        <v>99</v>
      </c>
      <c r="AI338" s="20" t="s">
        <v>5215</v>
      </c>
      <c r="AJ338" s="117">
        <v>4033949</v>
      </c>
      <c r="AK338" s="20">
        <v>2</v>
      </c>
      <c r="AL338" s="20">
        <f t="shared" si="85"/>
        <v>134</v>
      </c>
      <c r="AM338" s="20">
        <f t="shared" si="86"/>
        <v>540549166</v>
      </c>
      <c r="AN338" s="20" t="s">
        <v>5218</v>
      </c>
      <c r="AR338" t="s">
        <v>25</v>
      </c>
      <c r="AT338" s="96" t="s">
        <v>25</v>
      </c>
    </row>
    <row r="339" spans="17:46">
      <c r="Q339" s="99" t="s">
        <v>4817</v>
      </c>
      <c r="R339" s="95">
        <v>-2512200</v>
      </c>
      <c r="T339" s="213" t="s">
        <v>5284</v>
      </c>
      <c r="U339" s="213">
        <v>963</v>
      </c>
      <c r="V339" s="113">
        <v>477.92200000000003</v>
      </c>
      <c r="W339" s="113">
        <f t="shared" si="84"/>
        <v>460238.886</v>
      </c>
      <c r="X339" s="36" t="s">
        <v>452</v>
      </c>
      <c r="AH339" s="149">
        <v>100</v>
      </c>
      <c r="AI339" s="149" t="s">
        <v>5223</v>
      </c>
      <c r="AJ339" s="188">
        <v>11500000</v>
      </c>
      <c r="AK339" s="149">
        <v>2</v>
      </c>
      <c r="AL339" s="149">
        <f t="shared" si="85"/>
        <v>132</v>
      </c>
      <c r="AM339" s="149">
        <f t="shared" si="86"/>
        <v>1518000000</v>
      </c>
      <c r="AN339" s="149" t="s">
        <v>5226</v>
      </c>
      <c r="AS339" t="s">
        <v>25</v>
      </c>
    </row>
    <row r="340" spans="17:46">
      <c r="Q340" s="99" t="s">
        <v>4826</v>
      </c>
      <c r="R340" s="95">
        <v>300000</v>
      </c>
      <c r="T340" s="213" t="s">
        <v>5285</v>
      </c>
      <c r="U340" s="213">
        <v>2815</v>
      </c>
      <c r="V340" s="113">
        <v>461.79</v>
      </c>
      <c r="W340" s="113">
        <f t="shared" si="84"/>
        <v>1299938.8500000001</v>
      </c>
      <c r="X340" s="36" t="s">
        <v>452</v>
      </c>
      <c r="AH340" s="149">
        <v>101</v>
      </c>
      <c r="AI340" s="149" t="s">
        <v>5230</v>
      </c>
      <c r="AJ340" s="188">
        <v>250000</v>
      </c>
      <c r="AK340" s="149">
        <v>3</v>
      </c>
      <c r="AL340" s="149">
        <f t="shared" si="85"/>
        <v>130</v>
      </c>
      <c r="AM340" s="149">
        <f t="shared" si="86"/>
        <v>32500000</v>
      </c>
      <c r="AN340" s="149"/>
    </row>
    <row r="341" spans="17:46">
      <c r="Q341" s="99" t="s">
        <v>979</v>
      </c>
      <c r="R341" s="95">
        <v>1100000</v>
      </c>
      <c r="T341" s="213" t="s">
        <v>5285</v>
      </c>
      <c r="U341" s="213">
        <v>1581</v>
      </c>
      <c r="V341" s="113">
        <v>461.79</v>
      </c>
      <c r="W341" s="113">
        <f t="shared" si="84"/>
        <v>730089.99</v>
      </c>
      <c r="X341" s="36" t="s">
        <v>452</v>
      </c>
      <c r="AH341" s="149">
        <v>102</v>
      </c>
      <c r="AI341" s="149" t="s">
        <v>5257</v>
      </c>
      <c r="AJ341" s="188">
        <v>6000000</v>
      </c>
      <c r="AK341" s="149">
        <v>1</v>
      </c>
      <c r="AL341" s="149">
        <f t="shared" si="85"/>
        <v>127</v>
      </c>
      <c r="AM341" s="149">
        <f t="shared" si="86"/>
        <v>762000000</v>
      </c>
      <c r="AN341" s="149" t="s">
        <v>5226</v>
      </c>
    </row>
    <row r="342" spans="17:46">
      <c r="Q342" s="99" t="s">
        <v>4833</v>
      </c>
      <c r="R342" s="95">
        <v>890000</v>
      </c>
      <c r="T342" s="189" t="s">
        <v>5295</v>
      </c>
      <c r="U342" s="189">
        <v>1916</v>
      </c>
      <c r="V342" s="188">
        <v>521.70000000000005</v>
      </c>
      <c r="W342" s="188">
        <f t="shared" si="84"/>
        <v>999577.20000000007</v>
      </c>
      <c r="X342" s="286" t="s">
        <v>5422</v>
      </c>
      <c r="AH342" s="149">
        <v>103</v>
      </c>
      <c r="AI342" s="149" t="s">
        <v>5261</v>
      </c>
      <c r="AJ342" s="188">
        <v>1500000</v>
      </c>
      <c r="AK342" s="149">
        <v>6</v>
      </c>
      <c r="AL342" s="149">
        <f t="shared" si="85"/>
        <v>126</v>
      </c>
      <c r="AM342" s="149">
        <f t="shared" si="86"/>
        <v>189000000</v>
      </c>
      <c r="AN342" s="149" t="s">
        <v>5226</v>
      </c>
    </row>
    <row r="343" spans="17:46">
      <c r="Q343" s="99" t="s">
        <v>4853</v>
      </c>
      <c r="R343" s="95">
        <v>1000000</v>
      </c>
      <c r="T343" s="213" t="s">
        <v>990</v>
      </c>
      <c r="U343" s="213">
        <v>41</v>
      </c>
      <c r="V343" s="113">
        <v>514.48099999999999</v>
      </c>
      <c r="W343" s="113">
        <f t="shared" si="84"/>
        <v>21093.721000000001</v>
      </c>
      <c r="X343" s="36" t="s">
        <v>5267</v>
      </c>
      <c r="AH343" s="20">
        <v>104</v>
      </c>
      <c r="AI343" s="20" t="s">
        <v>973</v>
      </c>
      <c r="AJ343" s="117">
        <v>-3960043</v>
      </c>
      <c r="AK343" s="20">
        <v>2</v>
      </c>
      <c r="AL343" s="20">
        <f t="shared" si="85"/>
        <v>120</v>
      </c>
      <c r="AM343" s="20">
        <f t="shared" si="86"/>
        <v>-475205160</v>
      </c>
      <c r="AN343" s="20"/>
    </row>
    <row r="344" spans="17:46">
      <c r="Q344" s="99" t="s">
        <v>4854</v>
      </c>
      <c r="R344" s="95">
        <v>45436311</v>
      </c>
      <c r="S344" s="114"/>
      <c r="T344" s="213" t="s">
        <v>4272</v>
      </c>
      <c r="U344" s="213">
        <v>71</v>
      </c>
      <c r="V344" s="113">
        <v>482.57</v>
      </c>
      <c r="W344" s="113">
        <f t="shared" si="84"/>
        <v>34262.47</v>
      </c>
      <c r="X344" s="36" t="s">
        <v>5267</v>
      </c>
      <c r="AH344" s="20">
        <v>105</v>
      </c>
      <c r="AI344" s="20" t="s">
        <v>5284</v>
      </c>
      <c r="AJ344" s="117">
        <v>230000</v>
      </c>
      <c r="AK344" s="20">
        <v>0</v>
      </c>
      <c r="AL344" s="20">
        <f t="shared" si="85"/>
        <v>118</v>
      </c>
      <c r="AM344" s="20">
        <f t="shared" si="86"/>
        <v>27140000</v>
      </c>
      <c r="AN344" s="20"/>
    </row>
    <row r="345" spans="17:46">
      <c r="Q345" s="99" t="s">
        <v>4854</v>
      </c>
      <c r="R345" s="95">
        <v>-3500000</v>
      </c>
      <c r="T345" s="213" t="s">
        <v>5316</v>
      </c>
      <c r="U345" s="213">
        <v>-250</v>
      </c>
      <c r="V345" s="113">
        <v>487.125</v>
      </c>
      <c r="W345" s="113">
        <f t="shared" si="84"/>
        <v>-121781.25</v>
      </c>
      <c r="X345" s="36" t="s">
        <v>4436</v>
      </c>
      <c r="AH345" s="149">
        <v>106</v>
      </c>
      <c r="AI345" s="149" t="s">
        <v>5284</v>
      </c>
      <c r="AJ345" s="188">
        <v>230000</v>
      </c>
      <c r="AK345" s="149">
        <v>1</v>
      </c>
      <c r="AL345" s="149">
        <f t="shared" ref="AL345:AL349" si="87">AK345+AL346</f>
        <v>118</v>
      </c>
      <c r="AM345" s="149">
        <f t="shared" ref="AM345:AM349" si="88">AJ345*AL345</f>
        <v>27140000</v>
      </c>
      <c r="AN345" s="149"/>
    </row>
    <row r="346" spans="17:46">
      <c r="Q346" s="99" t="s">
        <v>4867</v>
      </c>
      <c r="R346" s="95">
        <v>2520000</v>
      </c>
      <c r="T346" s="213" t="s">
        <v>5316</v>
      </c>
      <c r="U346" s="213">
        <v>250</v>
      </c>
      <c r="V346" s="113">
        <v>487.125</v>
      </c>
      <c r="W346" s="113">
        <f t="shared" si="84"/>
        <v>121781.25</v>
      </c>
      <c r="X346" s="36" t="s">
        <v>750</v>
      </c>
      <c r="AA346" t="s">
        <v>25</v>
      </c>
      <c r="AH346" s="149">
        <v>107</v>
      </c>
      <c r="AI346" s="149" t="s">
        <v>5285</v>
      </c>
      <c r="AJ346" s="188">
        <v>500000</v>
      </c>
      <c r="AK346" s="149">
        <v>1</v>
      </c>
      <c r="AL346" s="149">
        <f t="shared" si="87"/>
        <v>117</v>
      </c>
      <c r="AM346" s="149">
        <f t="shared" si="88"/>
        <v>58500000</v>
      </c>
      <c r="AN346" s="149"/>
    </row>
    <row r="347" spans="17:46">
      <c r="Q347" s="99" t="s">
        <v>4902</v>
      </c>
      <c r="R347" s="95">
        <v>4900000</v>
      </c>
      <c r="T347" s="213" t="s">
        <v>5327</v>
      </c>
      <c r="U347" s="213">
        <v>-1439</v>
      </c>
      <c r="V347" s="113">
        <v>486.53068999999999</v>
      </c>
      <c r="W347" s="113">
        <f t="shared" si="84"/>
        <v>-700117.66290999996</v>
      </c>
      <c r="X347" s="36" t="s">
        <v>4436</v>
      </c>
      <c r="Y347" t="s">
        <v>25</v>
      </c>
      <c r="AH347" s="20">
        <v>108</v>
      </c>
      <c r="AI347" s="20" t="s">
        <v>5290</v>
      </c>
      <c r="AJ347" s="117">
        <v>-880000</v>
      </c>
      <c r="AK347" s="20">
        <v>4</v>
      </c>
      <c r="AL347" s="20">
        <f t="shared" si="87"/>
        <v>116</v>
      </c>
      <c r="AM347" s="20">
        <f t="shared" si="88"/>
        <v>-102080000</v>
      </c>
      <c r="AN347" s="20"/>
    </row>
    <row r="348" spans="17:46">
      <c r="Q348" s="99" t="s">
        <v>4922</v>
      </c>
      <c r="R348" s="95">
        <v>1150000</v>
      </c>
      <c r="T348" s="213" t="s">
        <v>5327</v>
      </c>
      <c r="U348" s="213">
        <v>411</v>
      </c>
      <c r="V348" s="113">
        <v>486.53068999999999</v>
      </c>
      <c r="W348" s="113">
        <f t="shared" si="84"/>
        <v>199964.11358999999</v>
      </c>
      <c r="X348" s="36" t="s">
        <v>750</v>
      </c>
      <c r="AH348" s="195">
        <v>109</v>
      </c>
      <c r="AI348" s="195" t="s">
        <v>5295</v>
      </c>
      <c r="AJ348" s="196">
        <v>873000</v>
      </c>
      <c r="AK348" s="195">
        <v>0</v>
      </c>
      <c r="AL348" s="195">
        <f t="shared" si="87"/>
        <v>112</v>
      </c>
      <c r="AM348" s="195">
        <f t="shared" si="88"/>
        <v>97776000</v>
      </c>
      <c r="AN348" s="195" t="s">
        <v>5226</v>
      </c>
    </row>
    <row r="349" spans="17:46">
      <c r="Q349" s="99" t="s">
        <v>4874</v>
      </c>
      <c r="R349" s="95">
        <v>250000</v>
      </c>
      <c r="T349" s="213" t="s">
        <v>5283</v>
      </c>
      <c r="U349" s="213">
        <v>-4290</v>
      </c>
      <c r="V349" s="113">
        <v>497.57670000000002</v>
      </c>
      <c r="W349" s="113">
        <f t="shared" si="84"/>
        <v>-2134604.0430000001</v>
      </c>
      <c r="X349" s="36" t="s">
        <v>452</v>
      </c>
      <c r="AH349" s="20">
        <v>110</v>
      </c>
      <c r="AI349" s="20" t="s">
        <v>5295</v>
      </c>
      <c r="AJ349" s="117">
        <v>127000</v>
      </c>
      <c r="AK349" s="20">
        <v>0</v>
      </c>
      <c r="AL349" s="20">
        <f t="shared" si="87"/>
        <v>112</v>
      </c>
      <c r="AM349" s="20">
        <f t="shared" si="88"/>
        <v>14224000</v>
      </c>
      <c r="AN349" s="20" t="s">
        <v>5226</v>
      </c>
    </row>
    <row r="350" spans="17:46">
      <c r="Q350" s="99" t="s">
        <v>4963</v>
      </c>
      <c r="R350" s="95">
        <v>1403460</v>
      </c>
      <c r="T350" s="213" t="s">
        <v>5339</v>
      </c>
      <c r="U350" s="213">
        <v>-644</v>
      </c>
      <c r="V350" s="113">
        <v>494.76464499999997</v>
      </c>
      <c r="W350" s="113">
        <f t="shared" si="84"/>
        <v>-318628.43137999997</v>
      </c>
      <c r="X350" s="36" t="s">
        <v>452</v>
      </c>
      <c r="AH350" s="20">
        <v>111</v>
      </c>
      <c r="AI350" s="20" t="s">
        <v>5295</v>
      </c>
      <c r="AJ350" s="117">
        <v>73000</v>
      </c>
      <c r="AK350" s="20">
        <v>1</v>
      </c>
      <c r="AL350" s="20">
        <f t="shared" ref="AL350:AL354" si="89">AK350+AL351</f>
        <v>112</v>
      </c>
      <c r="AM350" s="20">
        <f t="shared" ref="AM350:AM354" si="90">AJ350*AL350</f>
        <v>8176000</v>
      </c>
      <c r="AN350" s="20"/>
    </row>
    <row r="351" spans="17:46">
      <c r="Q351" s="99" t="s">
        <v>4968</v>
      </c>
      <c r="R351" s="95">
        <v>200000</v>
      </c>
      <c r="T351" s="213" t="s">
        <v>5343</v>
      </c>
      <c r="U351" s="213">
        <v>-112</v>
      </c>
      <c r="V351" s="113">
        <v>485.78</v>
      </c>
      <c r="W351" s="113">
        <f t="shared" si="84"/>
        <v>-54407.360000000001</v>
      </c>
      <c r="X351" s="36" t="s">
        <v>452</v>
      </c>
      <c r="AH351" s="20">
        <v>112</v>
      </c>
      <c r="AI351" s="20" t="s">
        <v>990</v>
      </c>
      <c r="AJ351" s="117">
        <v>4300000</v>
      </c>
      <c r="AK351" s="20">
        <v>1</v>
      </c>
      <c r="AL351" s="20">
        <f t="shared" si="89"/>
        <v>111</v>
      </c>
      <c r="AM351" s="20">
        <f t="shared" si="90"/>
        <v>477300000</v>
      </c>
      <c r="AN351" s="20"/>
    </row>
    <row r="352" spans="17:46">
      <c r="Q352" s="99" t="s">
        <v>4974</v>
      </c>
      <c r="R352" s="95">
        <v>345000</v>
      </c>
      <c r="T352" s="213" t="s">
        <v>5343</v>
      </c>
      <c r="U352" s="213">
        <v>123</v>
      </c>
      <c r="V352" s="113">
        <v>485.78</v>
      </c>
      <c r="W352" s="113">
        <f t="shared" si="84"/>
        <v>59750.939999999995</v>
      </c>
      <c r="X352" s="36" t="s">
        <v>750</v>
      </c>
      <c r="AH352" s="20">
        <v>113</v>
      </c>
      <c r="AI352" s="20" t="s">
        <v>5136</v>
      </c>
      <c r="AJ352" s="117">
        <v>1600000</v>
      </c>
      <c r="AK352" s="20">
        <v>0</v>
      </c>
      <c r="AL352" s="20">
        <f t="shared" si="89"/>
        <v>110</v>
      </c>
      <c r="AM352" s="20">
        <f t="shared" si="90"/>
        <v>176000000</v>
      </c>
      <c r="AN352" s="20"/>
    </row>
    <row r="353" spans="17:45">
      <c r="Q353" s="99" t="s">
        <v>4979</v>
      </c>
      <c r="R353" s="95">
        <v>900000</v>
      </c>
      <c r="T353" s="213" t="s">
        <v>5343</v>
      </c>
      <c r="U353" s="213">
        <v>-123</v>
      </c>
      <c r="V353" s="113">
        <v>485.78</v>
      </c>
      <c r="W353" s="113">
        <f t="shared" si="84"/>
        <v>-59750.939999999995</v>
      </c>
      <c r="X353" s="36" t="s">
        <v>4436</v>
      </c>
      <c r="AH353" s="20">
        <v>114</v>
      </c>
      <c r="AI353" s="20" t="s">
        <v>4272</v>
      </c>
      <c r="AJ353" s="117">
        <v>-10000000</v>
      </c>
      <c r="AK353" s="20">
        <v>1</v>
      </c>
      <c r="AL353" s="20">
        <f t="shared" si="89"/>
        <v>110</v>
      </c>
      <c r="AM353" s="20">
        <f t="shared" si="90"/>
        <v>-1100000000</v>
      </c>
      <c r="AN353" s="20" t="s">
        <v>5306</v>
      </c>
    </row>
    <row r="354" spans="17:45">
      <c r="Q354" s="99" t="s">
        <v>4983</v>
      </c>
      <c r="R354" s="95">
        <v>372517</v>
      </c>
      <c r="T354" s="213" t="s">
        <v>5389</v>
      </c>
      <c r="U354" s="213">
        <v>32367</v>
      </c>
      <c r="V354" s="113">
        <v>556.12900000000002</v>
      </c>
      <c r="W354" s="113">
        <f t="shared" si="84"/>
        <v>18000227.343000002</v>
      </c>
      <c r="X354" s="36" t="s">
        <v>452</v>
      </c>
      <c r="AH354" s="20">
        <v>115</v>
      </c>
      <c r="AI354" s="20" t="s">
        <v>5305</v>
      </c>
      <c r="AJ354" s="117">
        <v>571000</v>
      </c>
      <c r="AK354" s="20">
        <v>4</v>
      </c>
      <c r="AL354" s="20">
        <f t="shared" si="89"/>
        <v>109</v>
      </c>
      <c r="AM354" s="20">
        <f t="shared" si="90"/>
        <v>62239000</v>
      </c>
      <c r="AN354" s="20"/>
    </row>
    <row r="355" spans="17:45">
      <c r="Q355" s="99" t="s">
        <v>4994</v>
      </c>
      <c r="R355" s="95">
        <v>6489257</v>
      </c>
      <c r="T355" s="213" t="s">
        <v>5408</v>
      </c>
      <c r="U355" s="213">
        <v>1254</v>
      </c>
      <c r="V355" s="113">
        <v>558.24400000000003</v>
      </c>
      <c r="W355" s="113">
        <f t="shared" si="84"/>
        <v>700037.97600000002</v>
      </c>
      <c r="X355" s="36" t="s">
        <v>4436</v>
      </c>
      <c r="AH355" s="20">
        <v>116</v>
      </c>
      <c r="AI355" s="20" t="s">
        <v>5307</v>
      </c>
      <c r="AJ355" s="117">
        <v>200000</v>
      </c>
      <c r="AK355" s="20">
        <v>3</v>
      </c>
      <c r="AL355" s="20">
        <f t="shared" ref="AL355:AL374" si="91">AK355+AL356</f>
        <v>105</v>
      </c>
      <c r="AM355" s="20">
        <f t="shared" ref="AM355:AM374" si="92">AJ355*AL355</f>
        <v>21000000</v>
      </c>
      <c r="AN355" s="20"/>
    </row>
    <row r="356" spans="17:45">
      <c r="Q356" s="99" t="s">
        <v>5047</v>
      </c>
      <c r="R356" s="95">
        <v>618000</v>
      </c>
      <c r="T356" s="168" t="s">
        <v>5408</v>
      </c>
      <c r="U356" s="213">
        <v>-358</v>
      </c>
      <c r="V356" s="113">
        <v>558.24400000000003</v>
      </c>
      <c r="W356" s="113">
        <f t="shared" si="84"/>
        <v>-199851.35200000001</v>
      </c>
      <c r="X356" s="36" t="s">
        <v>750</v>
      </c>
      <c r="Y356" t="s">
        <v>25</v>
      </c>
      <c r="AH356" s="149">
        <v>117</v>
      </c>
      <c r="AI356" s="149" t="s">
        <v>5316</v>
      </c>
      <c r="AJ356" s="188">
        <v>50000</v>
      </c>
      <c r="AK356" s="149">
        <v>7</v>
      </c>
      <c r="AL356" s="149">
        <f t="shared" si="91"/>
        <v>102</v>
      </c>
      <c r="AM356" s="149">
        <f t="shared" si="92"/>
        <v>5100000</v>
      </c>
      <c r="AN356" s="149"/>
    </row>
    <row r="357" spans="17:45">
      <c r="Q357" s="99" t="s">
        <v>5061</v>
      </c>
      <c r="R357" s="95">
        <v>20105000</v>
      </c>
      <c r="T357" s="189" t="s">
        <v>5420</v>
      </c>
      <c r="U357" s="189">
        <v>-3326</v>
      </c>
      <c r="V357" s="188">
        <v>601.39300000000003</v>
      </c>
      <c r="W357" s="188">
        <f t="shared" si="84"/>
        <v>-2000233.118</v>
      </c>
      <c r="X357" s="286" t="s">
        <v>5228</v>
      </c>
      <c r="Y357" t="s">
        <v>25</v>
      </c>
      <c r="AH357" s="20">
        <v>118</v>
      </c>
      <c r="AI357" s="20" t="s">
        <v>5327</v>
      </c>
      <c r="AJ357" s="117">
        <v>-500000</v>
      </c>
      <c r="AK357" s="20">
        <v>12</v>
      </c>
      <c r="AL357" s="20">
        <f t="shared" si="91"/>
        <v>95</v>
      </c>
      <c r="AM357" s="20">
        <f t="shared" si="92"/>
        <v>-47500000</v>
      </c>
      <c r="AN357" s="20"/>
    </row>
    <row r="358" spans="17:45">
      <c r="Q358" s="99" t="s">
        <v>5066</v>
      </c>
      <c r="R358" s="95">
        <v>-21079990</v>
      </c>
      <c r="T358" s="189" t="s">
        <v>5423</v>
      </c>
      <c r="U358" s="189">
        <v>3326</v>
      </c>
      <c r="V358" s="188">
        <v>601.39300000000003</v>
      </c>
      <c r="W358" s="188">
        <f t="shared" si="84"/>
        <v>2000233.118</v>
      </c>
      <c r="X358" s="286" t="s">
        <v>5228</v>
      </c>
      <c r="AH358" s="149">
        <v>119</v>
      </c>
      <c r="AI358" s="149" t="s">
        <v>989</v>
      </c>
      <c r="AJ358" s="188">
        <v>-50000</v>
      </c>
      <c r="AK358" s="149">
        <v>0</v>
      </c>
      <c r="AL358" s="149">
        <f t="shared" si="91"/>
        <v>83</v>
      </c>
      <c r="AM358" s="149">
        <f t="shared" si="92"/>
        <v>-4150000</v>
      </c>
      <c r="AN358" s="149"/>
      <c r="AS358" t="s">
        <v>25</v>
      </c>
    </row>
    <row r="359" spans="17:45">
      <c r="Q359" s="99" t="s">
        <v>5067</v>
      </c>
      <c r="R359" s="95">
        <v>-5949277</v>
      </c>
      <c r="T359" s="189" t="s">
        <v>5438</v>
      </c>
      <c r="U359" s="189">
        <v>63259</v>
      </c>
      <c r="V359" s="188">
        <v>632.31960000000004</v>
      </c>
      <c r="W359" s="188">
        <f t="shared" si="84"/>
        <v>39999905.576400004</v>
      </c>
      <c r="X359" s="286" t="s">
        <v>1084</v>
      </c>
      <c r="Y359" t="s">
        <v>25</v>
      </c>
      <c r="AH359" s="20">
        <v>120</v>
      </c>
      <c r="AI359" s="20" t="s">
        <v>989</v>
      </c>
      <c r="AJ359" s="117">
        <v>-50000</v>
      </c>
      <c r="AK359" s="20">
        <v>28</v>
      </c>
      <c r="AL359" s="20">
        <f t="shared" si="91"/>
        <v>83</v>
      </c>
      <c r="AM359" s="20">
        <f t="shared" si="92"/>
        <v>-4150000</v>
      </c>
      <c r="AN359" s="20"/>
    </row>
    <row r="360" spans="17:45">
      <c r="Q360" s="99" t="s">
        <v>5074</v>
      </c>
      <c r="R360" s="95">
        <v>-15370656</v>
      </c>
      <c r="T360" s="19" t="s">
        <v>5445</v>
      </c>
      <c r="U360" s="19">
        <v>-1278</v>
      </c>
      <c r="V360" s="117">
        <v>625.98</v>
      </c>
      <c r="W360" s="117">
        <f t="shared" si="84"/>
        <v>-800002.44000000006</v>
      </c>
      <c r="X360" s="287" t="s">
        <v>5447</v>
      </c>
      <c r="Y360" t="s">
        <v>25</v>
      </c>
      <c r="AH360" s="20">
        <v>121</v>
      </c>
      <c r="AI360" s="20" t="s">
        <v>5377</v>
      </c>
      <c r="AJ360" s="117">
        <v>-3020625</v>
      </c>
      <c r="AK360" s="20">
        <v>18</v>
      </c>
      <c r="AL360" s="20">
        <f t="shared" si="91"/>
        <v>55</v>
      </c>
      <c r="AM360" s="20">
        <f t="shared" si="92"/>
        <v>-166134375</v>
      </c>
      <c r="AN360" s="20"/>
    </row>
    <row r="361" spans="17:45">
      <c r="Q361" s="99" t="s">
        <v>5081</v>
      </c>
      <c r="R361" s="95">
        <v>4960000</v>
      </c>
      <c r="T361" s="19" t="s">
        <v>5457</v>
      </c>
      <c r="U361" s="19">
        <v>32049</v>
      </c>
      <c r="V361" s="117">
        <v>624.04600000000005</v>
      </c>
      <c r="W361" s="117">
        <f t="shared" si="84"/>
        <v>20000050.254000001</v>
      </c>
      <c r="X361" s="287" t="s">
        <v>5274</v>
      </c>
      <c r="Y361" t="s">
        <v>25</v>
      </c>
      <c r="AH361" s="20">
        <v>122</v>
      </c>
      <c r="AI361" s="20" t="s">
        <v>5388</v>
      </c>
      <c r="AJ361" s="117">
        <v>18000000</v>
      </c>
      <c r="AK361" s="20">
        <v>19</v>
      </c>
      <c r="AL361" s="20">
        <f t="shared" si="91"/>
        <v>37</v>
      </c>
      <c r="AM361" s="20">
        <f t="shared" si="92"/>
        <v>666000000</v>
      </c>
      <c r="AN361" s="20"/>
    </row>
    <row r="362" spans="17:45">
      <c r="Q362" s="99" t="s">
        <v>5081</v>
      </c>
      <c r="R362" s="95">
        <v>10000000</v>
      </c>
      <c r="T362" s="19"/>
      <c r="U362" s="19"/>
      <c r="V362" s="117"/>
      <c r="W362" s="117"/>
      <c r="X362" s="287"/>
      <c r="AH362" s="20">
        <v>123</v>
      </c>
      <c r="AI362" s="20" t="s">
        <v>5423</v>
      </c>
      <c r="AJ362" s="117">
        <v>2000000</v>
      </c>
      <c r="AK362" s="20">
        <v>6</v>
      </c>
      <c r="AL362" s="20">
        <f t="shared" si="91"/>
        <v>18</v>
      </c>
      <c r="AM362" s="20">
        <f t="shared" si="92"/>
        <v>36000000</v>
      </c>
      <c r="AN362" s="20"/>
    </row>
    <row r="363" spans="17:45">
      <c r="Q363" s="99" t="s">
        <v>5090</v>
      </c>
      <c r="R363" s="95">
        <v>-40570100</v>
      </c>
      <c r="T363" s="99"/>
      <c r="U363" s="168"/>
      <c r="V363" s="113"/>
      <c r="W363" s="113"/>
      <c r="X363" s="99"/>
      <c r="AH363" s="149">
        <v>124</v>
      </c>
      <c r="AI363" s="149" t="s">
        <v>5438</v>
      </c>
      <c r="AJ363" s="188">
        <v>40000000</v>
      </c>
      <c r="AK363" s="149">
        <v>6</v>
      </c>
      <c r="AL363" s="149">
        <f t="shared" si="91"/>
        <v>12</v>
      </c>
      <c r="AM363" s="149">
        <f t="shared" si="92"/>
        <v>480000000</v>
      </c>
      <c r="AN363" s="149"/>
    </row>
    <row r="364" spans="17:45">
      <c r="Q364" s="99" t="s">
        <v>5106</v>
      </c>
      <c r="R364" s="95">
        <v>1000000</v>
      </c>
      <c r="T364" s="168"/>
      <c r="U364" s="168">
        <f>SUM(U215:U363)</f>
        <v>3781010</v>
      </c>
      <c r="V364" s="99"/>
      <c r="W364" s="99"/>
      <c r="X364" s="99"/>
      <c r="AH364" s="20">
        <v>125</v>
      </c>
      <c r="AI364" s="20" t="s">
        <v>5457</v>
      </c>
      <c r="AJ364" s="117">
        <v>200000</v>
      </c>
      <c r="AK364" s="20">
        <v>0</v>
      </c>
      <c r="AL364" s="20">
        <f t="shared" si="91"/>
        <v>6</v>
      </c>
      <c r="AM364" s="20">
        <f t="shared" si="92"/>
        <v>1200000</v>
      </c>
      <c r="AN364" s="20"/>
    </row>
    <row r="365" spans="17:45">
      <c r="Q365" s="99" t="s">
        <v>5107</v>
      </c>
      <c r="R365" s="95">
        <v>400000</v>
      </c>
      <c r="T365" s="99"/>
      <c r="U365" s="99" t="s">
        <v>6</v>
      </c>
      <c r="V365" s="99"/>
      <c r="W365" s="99"/>
      <c r="X365" s="99"/>
      <c r="AH365" s="149">
        <v>126</v>
      </c>
      <c r="AI365" s="149" t="s">
        <v>5457</v>
      </c>
      <c r="AJ365" s="188">
        <v>200000</v>
      </c>
      <c r="AK365" s="149">
        <v>1</v>
      </c>
      <c r="AL365" s="149">
        <f t="shared" si="91"/>
        <v>6</v>
      </c>
      <c r="AM365" s="149">
        <f t="shared" si="92"/>
        <v>1200000</v>
      </c>
      <c r="AN365" s="149"/>
    </row>
    <row r="366" spans="17:45">
      <c r="Q366" s="99" t="s">
        <v>5114</v>
      </c>
      <c r="R366" s="95">
        <v>120000</v>
      </c>
      <c r="T366" s="200" t="s">
        <v>4472</v>
      </c>
      <c r="AH366" s="20">
        <v>127</v>
      </c>
      <c r="AI366" s="20" t="s">
        <v>5466</v>
      </c>
      <c r="AJ366" s="117">
        <v>50000</v>
      </c>
      <c r="AK366" s="20">
        <v>4</v>
      </c>
      <c r="AL366" s="20">
        <f t="shared" si="91"/>
        <v>5</v>
      </c>
      <c r="AM366" s="20">
        <f t="shared" si="92"/>
        <v>250000</v>
      </c>
      <c r="AN366" s="20"/>
    </row>
    <row r="367" spans="17:45">
      <c r="Q367" s="99" t="s">
        <v>5132</v>
      </c>
      <c r="R367" s="95">
        <v>500000</v>
      </c>
      <c r="T367" s="199">
        <f>R228/U364</f>
        <v>632.65723952065707</v>
      </c>
      <c r="AH367" s="20">
        <v>128</v>
      </c>
      <c r="AI367" s="20" t="s">
        <v>5477</v>
      </c>
      <c r="AJ367" s="117">
        <v>100000</v>
      </c>
      <c r="AK367" s="20">
        <v>1</v>
      </c>
      <c r="AL367" s="20">
        <f>AK367+AL374</f>
        <v>1</v>
      </c>
      <c r="AM367" s="20">
        <f t="shared" si="92"/>
        <v>100000</v>
      </c>
      <c r="AN367" s="20"/>
    </row>
    <row r="368" spans="17:45">
      <c r="Q368" s="99" t="s">
        <v>5119</v>
      </c>
      <c r="R368" s="95">
        <v>744000</v>
      </c>
      <c r="W368" s="114"/>
      <c r="AH368" s="20"/>
      <c r="AI368" s="20"/>
      <c r="AJ368" s="117"/>
      <c r="AK368" s="20"/>
      <c r="AL368" s="20"/>
      <c r="AM368" s="20"/>
      <c r="AN368" s="20"/>
    </row>
    <row r="369" spans="17:45">
      <c r="Q369" s="99" t="s">
        <v>5148</v>
      </c>
      <c r="R369" s="95">
        <v>65000</v>
      </c>
      <c r="U369" s="96" t="s">
        <v>267</v>
      </c>
      <c r="V369" t="s">
        <v>4473</v>
      </c>
      <c r="X369" t="s">
        <v>25</v>
      </c>
      <c r="AH369" s="20"/>
      <c r="AI369" s="20"/>
      <c r="AJ369" s="117"/>
      <c r="AK369" s="20"/>
      <c r="AL369" s="20"/>
      <c r="AM369" s="20"/>
      <c r="AN369" s="20"/>
    </row>
    <row r="370" spans="17:45">
      <c r="Q370" s="99" t="s">
        <v>5156</v>
      </c>
      <c r="R370" s="95">
        <v>-14053702</v>
      </c>
      <c r="T370" s="114"/>
      <c r="U370" s="113">
        <v>20000000</v>
      </c>
      <c r="V370">
        <f>U370/T367</f>
        <v>31612.694442812859</v>
      </c>
      <c r="X370" t="s">
        <v>25</v>
      </c>
      <c r="AH370" s="20"/>
      <c r="AI370" s="20"/>
      <c r="AJ370" s="117"/>
      <c r="AK370" s="20"/>
      <c r="AL370" s="20"/>
      <c r="AM370" s="20"/>
      <c r="AN370" s="20"/>
    </row>
    <row r="371" spans="17:45">
      <c r="Q371" s="99" t="s">
        <v>5120</v>
      </c>
      <c r="R371" s="95">
        <v>3555678</v>
      </c>
      <c r="S371" s="114"/>
      <c r="X371" t="s">
        <v>25</v>
      </c>
      <c r="AH371" s="20"/>
      <c r="AI371" s="20"/>
      <c r="AJ371" s="117"/>
      <c r="AK371" s="20"/>
      <c r="AL371" s="20"/>
      <c r="AM371" s="20"/>
      <c r="AN371" s="20"/>
    </row>
    <row r="372" spans="17:45" ht="30">
      <c r="Q372" s="99" t="s">
        <v>5198</v>
      </c>
      <c r="R372" s="95">
        <v>3495</v>
      </c>
      <c r="V372" s="22" t="s">
        <v>5294</v>
      </c>
      <c r="W372" s="223"/>
      <c r="X372" s="96" t="s">
        <v>25</v>
      </c>
      <c r="AH372" s="20"/>
      <c r="AI372" s="20"/>
      <c r="AJ372" s="117"/>
      <c r="AK372" s="20"/>
      <c r="AL372" s="20"/>
      <c r="AM372" s="20"/>
      <c r="AN372" s="20"/>
      <c r="AR372" t="s">
        <v>25</v>
      </c>
    </row>
    <row r="373" spans="17:45">
      <c r="Q373" s="99" t="s">
        <v>5207</v>
      </c>
      <c r="R373" s="95">
        <v>6000000</v>
      </c>
      <c r="W373" s="96" t="s">
        <v>25</v>
      </c>
      <c r="X373" t="s">
        <v>25</v>
      </c>
      <c r="AH373" s="20"/>
      <c r="AI373" s="20"/>
      <c r="AJ373" s="117"/>
      <c r="AK373" s="20"/>
      <c r="AL373" s="20"/>
      <c r="AM373" s="20"/>
      <c r="AN373" s="20"/>
    </row>
    <row r="374" spans="17:45">
      <c r="Q374" s="99" t="s">
        <v>5212</v>
      </c>
      <c r="R374" s="95">
        <v>17220</v>
      </c>
      <c r="X374" t="s">
        <v>25</v>
      </c>
      <c r="AH374" s="99"/>
      <c r="AI374" s="99"/>
      <c r="AJ374" s="117"/>
      <c r="AK374" s="99"/>
      <c r="AL374" s="20">
        <f t="shared" si="91"/>
        <v>0</v>
      </c>
      <c r="AM374" s="20">
        <f t="shared" si="92"/>
        <v>0</v>
      </c>
      <c r="AN374" s="20"/>
      <c r="AS374" t="s">
        <v>25</v>
      </c>
    </row>
    <row r="375" spans="17:45" ht="60">
      <c r="Q375" s="99" t="s">
        <v>5213</v>
      </c>
      <c r="R375" s="95">
        <v>8249</v>
      </c>
      <c r="T375" s="22" t="s">
        <v>4456</v>
      </c>
      <c r="V375" s="223"/>
      <c r="X375" t="s">
        <v>25</v>
      </c>
      <c r="AH375" s="99"/>
      <c r="AI375" s="99"/>
      <c r="AJ375" s="117"/>
      <c r="AK375" s="99"/>
      <c r="AL375" s="20">
        <f t="shared" si="85"/>
        <v>0</v>
      </c>
      <c r="AM375" s="20">
        <f t="shared" si="86"/>
        <v>0</v>
      </c>
      <c r="AN375" s="99"/>
    </row>
    <row r="376" spans="17:45" ht="45">
      <c r="Q376" s="99" t="s">
        <v>5215</v>
      </c>
      <c r="R376" s="95">
        <v>6937</v>
      </c>
      <c r="T376" s="22" t="s">
        <v>4457</v>
      </c>
      <c r="AH376" s="99"/>
      <c r="AI376" s="99"/>
      <c r="AJ376" s="95">
        <f>SUM(AJ240:AJ375)</f>
        <v>509617227</v>
      </c>
      <c r="AK376" s="99"/>
      <c r="AL376" s="99"/>
      <c r="AM376" s="99">
        <f>SUM(AM240:AM375)</f>
        <v>140729415220</v>
      </c>
      <c r="AN376" s="95">
        <f>AM376*AN226/31</f>
        <v>75662489.144249693</v>
      </c>
    </row>
    <row r="377" spans="17:45">
      <c r="Q377" s="99" t="s">
        <v>5215</v>
      </c>
      <c r="R377" s="95">
        <v>4046552</v>
      </c>
      <c r="AJ377" t="s">
        <v>4056</v>
      </c>
      <c r="AM377" t="s">
        <v>284</v>
      </c>
      <c r="AN377" t="s">
        <v>941</v>
      </c>
    </row>
    <row r="378" spans="17:45">
      <c r="Q378" s="99" t="s">
        <v>5219</v>
      </c>
      <c r="R378" s="95">
        <v>-3884943</v>
      </c>
    </row>
    <row r="379" spans="17:45">
      <c r="Q379" s="99" t="s">
        <v>5230</v>
      </c>
      <c r="R379" s="95">
        <v>6022</v>
      </c>
      <c r="T379" s="99" t="s">
        <v>4474</v>
      </c>
      <c r="U379" s="99" t="s">
        <v>4446</v>
      </c>
      <c r="V379" s="99" t="s">
        <v>951</v>
      </c>
      <c r="W379" s="74"/>
      <c r="AI379" t="s">
        <v>4058</v>
      </c>
      <c r="AJ379" s="114">
        <f>AJ376+AN376</f>
        <v>585279716.14424968</v>
      </c>
    </row>
    <row r="380" spans="17:45">
      <c r="Q380" s="99" t="s">
        <v>5261</v>
      </c>
      <c r="R380" s="95">
        <v>400000</v>
      </c>
      <c r="T380" s="95">
        <f>S262+R312+R397</f>
        <v>986259366</v>
      </c>
      <c r="U380" s="95">
        <f>R228</f>
        <v>2392083349.1999998</v>
      </c>
      <c r="V380" s="95">
        <f>U380-T380</f>
        <v>1405823983.1999998</v>
      </c>
      <c r="AI380" t="s">
        <v>4061</v>
      </c>
      <c r="AJ380" s="114">
        <f>SUM(N20:N30)</f>
        <v>1052609930.3</v>
      </c>
    </row>
    <row r="381" spans="17:45">
      <c r="Q381" s="99" t="s">
        <v>5266</v>
      </c>
      <c r="R381" s="95">
        <v>92847</v>
      </c>
      <c r="AI381" t="s">
        <v>4133</v>
      </c>
      <c r="AJ381" s="114">
        <f>AJ380-AJ376</f>
        <v>542992703.29999995</v>
      </c>
    </row>
    <row r="382" spans="17:45">
      <c r="Q382" s="99" t="s">
        <v>5266</v>
      </c>
      <c r="R382" s="95">
        <v>-100000</v>
      </c>
      <c r="AI382" t="s">
        <v>941</v>
      </c>
      <c r="AJ382" s="114">
        <f>AN376</f>
        <v>75662489.144249693</v>
      </c>
    </row>
    <row r="383" spans="17:45">
      <c r="Q383" s="99" t="s">
        <v>5270</v>
      </c>
      <c r="R383" s="95">
        <v>10000000</v>
      </c>
      <c r="AI383" t="s">
        <v>4062</v>
      </c>
      <c r="AJ383" s="114">
        <f>AJ381-AJ382</f>
        <v>467330214.15575027</v>
      </c>
      <c r="AM383" t="s">
        <v>25</v>
      </c>
      <c r="AN383" t="s">
        <v>25</v>
      </c>
    </row>
    <row r="384" spans="17:45">
      <c r="Q384" s="99" t="s">
        <v>5277</v>
      </c>
      <c r="R384" s="95">
        <v>-400000</v>
      </c>
      <c r="AN384" t="s">
        <v>25</v>
      </c>
    </row>
    <row r="385" spans="17:40">
      <c r="Q385" s="99" t="s">
        <v>5282</v>
      </c>
      <c r="R385" s="95">
        <v>5649</v>
      </c>
      <c r="T385" t="s">
        <v>25</v>
      </c>
    </row>
    <row r="386" spans="17:40">
      <c r="Q386" s="99" t="s">
        <v>5284</v>
      </c>
      <c r="R386" s="95">
        <v>460000</v>
      </c>
      <c r="T386" t="s">
        <v>25</v>
      </c>
    </row>
    <row r="387" spans="17:40">
      <c r="Q387" s="99" t="s">
        <v>5285</v>
      </c>
      <c r="R387" s="95">
        <v>1300000</v>
      </c>
      <c r="AN387" t="s">
        <v>25</v>
      </c>
    </row>
    <row r="388" spans="17:40">
      <c r="Q388" s="99" t="s">
        <v>5285</v>
      </c>
      <c r="R388" s="95">
        <v>7300000</v>
      </c>
      <c r="T388" t="s">
        <v>25</v>
      </c>
      <c r="AN388" t="s">
        <v>25</v>
      </c>
    </row>
    <row r="389" spans="17:40">
      <c r="Q389" s="99" t="s">
        <v>990</v>
      </c>
      <c r="R389" s="95">
        <v>21203</v>
      </c>
      <c r="T389" t="s">
        <v>25</v>
      </c>
    </row>
    <row r="390" spans="17:40">
      <c r="Q390" s="99" t="s">
        <v>4272</v>
      </c>
      <c r="R390" s="95">
        <v>34550</v>
      </c>
    </row>
    <row r="391" spans="17:40">
      <c r="Q391" s="99" t="s">
        <v>5283</v>
      </c>
      <c r="R391" s="95">
        <v>-2134406</v>
      </c>
    </row>
    <row r="392" spans="17:40">
      <c r="Q392" s="99" t="s">
        <v>5339</v>
      </c>
      <c r="R392" s="95">
        <v>-618906</v>
      </c>
      <c r="T392" t="s">
        <v>25</v>
      </c>
    </row>
    <row r="393" spans="17:40">
      <c r="Q393" s="99" t="s">
        <v>5343</v>
      </c>
      <c r="R393" s="95">
        <v>-54615</v>
      </c>
      <c r="T393" t="s">
        <v>25</v>
      </c>
    </row>
    <row r="394" spans="17:40">
      <c r="Q394" s="99" t="s">
        <v>5388</v>
      </c>
      <c r="R394" s="95">
        <v>18000000</v>
      </c>
      <c r="W394" s="96" t="s">
        <v>25</v>
      </c>
    </row>
    <row r="395" spans="17:40">
      <c r="Q395" s="99"/>
      <c r="R395" s="95"/>
      <c r="T395" t="s">
        <v>25</v>
      </c>
    </row>
    <row r="396" spans="17:40">
      <c r="Q396" s="99"/>
      <c r="R396" s="95"/>
      <c r="S396" t="s">
        <v>25</v>
      </c>
      <c r="T396" t="s">
        <v>25</v>
      </c>
    </row>
    <row r="397" spans="17:40">
      <c r="Q397" s="99"/>
      <c r="R397" s="95">
        <f>SUM(R317:R396)</f>
        <v>417226986</v>
      </c>
      <c r="T397" t="s">
        <v>25</v>
      </c>
    </row>
    <row r="398" spans="17:40">
      <c r="Q398" s="99"/>
      <c r="R398" s="99" t="s">
        <v>6</v>
      </c>
      <c r="T398" t="s">
        <v>25</v>
      </c>
      <c r="U398" s="96" t="s">
        <v>25</v>
      </c>
    </row>
    <row r="399" spans="17:40">
      <c r="T399" t="s">
        <v>25</v>
      </c>
    </row>
    <row r="400" spans="17:40">
      <c r="T400" t="s">
        <v>25</v>
      </c>
    </row>
    <row r="401" spans="17:21">
      <c r="Q401" t="s">
        <v>25</v>
      </c>
      <c r="T401" t="s">
        <v>25</v>
      </c>
    </row>
    <row r="402" spans="17:21">
      <c r="T402" t="s">
        <v>25</v>
      </c>
    </row>
    <row r="404" spans="17:21">
      <c r="R404" t="s">
        <v>25</v>
      </c>
      <c r="T404" t="s">
        <v>25</v>
      </c>
    </row>
    <row r="405" spans="17:21">
      <c r="T405" t="s">
        <v>25</v>
      </c>
    </row>
    <row r="406" spans="17:21">
      <c r="R406" t="s">
        <v>25</v>
      </c>
    </row>
    <row r="407" spans="17:21">
      <c r="U40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49 G151: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42 S32 G121 S154 S96 S160 S162 P24 S46:S47 M107 S60:S61 P23 S65:S66 S174 S178:S180 S176 S18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G244" zoomScale="80" zoomScaleNormal="80" workbookViewId="0">
      <selection activeCell="K287" sqref="K28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5304</v>
      </c>
      <c r="J213" s="113">
        <f>L213-L212+800000</f>
        <v>15351721</v>
      </c>
      <c r="K213" s="213" t="s">
        <v>5305</v>
      </c>
      <c r="L213" s="84">
        <v>1017597520</v>
      </c>
      <c r="M213" s="84">
        <v>638870084</v>
      </c>
      <c r="N213" s="113">
        <f t="shared" si="52"/>
        <v>1656467604</v>
      </c>
      <c r="O213" s="113">
        <f>M213-M212+10000000</f>
        <v>14214313</v>
      </c>
      <c r="P213" s="113">
        <f>N213-N212+10800000</f>
        <v>29566034</v>
      </c>
      <c r="Q213" s="229">
        <v>-10800000</v>
      </c>
    </row>
    <row r="214" spans="9:19">
      <c r="I214" s="216" t="s">
        <v>5312</v>
      </c>
      <c r="J214" s="248">
        <f t="shared" si="51"/>
        <v>-18127600</v>
      </c>
      <c r="K214" s="216" t="s">
        <v>5307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5317</v>
      </c>
      <c r="J217" s="248">
        <f>L217-L216-50000</f>
        <v>-3947893</v>
      </c>
      <c r="K217" s="216" t="s">
        <v>5316</v>
      </c>
      <c r="L217" s="249">
        <v>1010326365</v>
      </c>
      <c r="M217" s="249">
        <v>632690003</v>
      </c>
      <c r="N217" s="248">
        <f t="shared" si="55"/>
        <v>1643016368</v>
      </c>
      <c r="O217" s="248">
        <f t="shared" si="56"/>
        <v>-2811879</v>
      </c>
      <c r="P217" s="248">
        <f>N217-N216-50000</f>
        <v>-6759772</v>
      </c>
      <c r="Q217" s="229">
        <v>50000</v>
      </c>
    </row>
    <row r="218" spans="9:19">
      <c r="I218" s="216" t="s">
        <v>5320</v>
      </c>
      <c r="J218" s="248">
        <f>L218-L217-400000</f>
        <v>-7352281</v>
      </c>
      <c r="K218" s="216" t="s">
        <v>5322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5325</v>
      </c>
      <c r="L219" s="84">
        <v>999517682</v>
      </c>
      <c r="M219" s="84">
        <v>627640361</v>
      </c>
      <c r="N219" s="113">
        <f t="shared" si="55"/>
        <v>1627158043</v>
      </c>
      <c r="O219" s="113">
        <f t="shared" si="56"/>
        <v>-1762209</v>
      </c>
      <c r="P219" s="113">
        <f t="shared" si="57"/>
        <v>-5618611</v>
      </c>
      <c r="Q219" s="229">
        <v>0</v>
      </c>
    </row>
    <row r="220" spans="9:19">
      <c r="I220" s="189" t="s">
        <v>5328</v>
      </c>
      <c r="J220" s="188">
        <f t="shared" si="51"/>
        <v>30762624</v>
      </c>
      <c r="K220" s="189" t="s">
        <v>5327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5337</v>
      </c>
      <c r="J222" s="280">
        <f>L222-L221+7000000</f>
        <v>4431891</v>
      </c>
      <c r="K222" s="279" t="s">
        <v>5338</v>
      </c>
      <c r="L222" s="281">
        <v>1011364540</v>
      </c>
      <c r="M222" s="281">
        <v>634014280</v>
      </c>
      <c r="N222" s="280">
        <f t="shared" si="55"/>
        <v>1645378820</v>
      </c>
      <c r="O222" s="280">
        <f t="shared" si="56"/>
        <v>-1137902</v>
      </c>
      <c r="P222" s="280">
        <f>N222-N221+7000000</f>
        <v>3293989</v>
      </c>
      <c r="Q222" s="229">
        <v>-7000000</v>
      </c>
    </row>
    <row r="223" spans="9:19">
      <c r="I223" s="216" t="s">
        <v>5340</v>
      </c>
      <c r="J223" s="248">
        <f t="shared" si="51"/>
        <v>-12364540</v>
      </c>
      <c r="K223" s="216" t="s">
        <v>5339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5344</v>
      </c>
      <c r="L226" s="84">
        <v>995000000</v>
      </c>
      <c r="M226" s="84">
        <v>625000000</v>
      </c>
      <c r="N226" s="113">
        <f t="shared" si="55"/>
        <v>1620000000</v>
      </c>
      <c r="O226" s="113">
        <f t="shared" si="56"/>
        <v>-2621912</v>
      </c>
      <c r="P226" s="113">
        <f t="shared" si="57"/>
        <v>-8262288</v>
      </c>
      <c r="Q226" s="229">
        <v>0</v>
      </c>
    </row>
    <row r="227" spans="9:19">
      <c r="I227" s="189" t="s">
        <v>5345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5349</v>
      </c>
      <c r="L230" s="84">
        <v>981346829</v>
      </c>
      <c r="M230" s="84">
        <v>616768631</v>
      </c>
      <c r="N230" s="113">
        <f>L230+M230</f>
        <v>1598115460</v>
      </c>
      <c r="O230" s="113">
        <f t="shared" si="56"/>
        <v>-231369</v>
      </c>
      <c r="P230" s="113">
        <f t="shared" si="57"/>
        <v>-2584540</v>
      </c>
      <c r="Q230" s="229">
        <v>0</v>
      </c>
    </row>
    <row r="231" spans="9:19">
      <c r="I231" s="189" t="s">
        <v>5351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5350</v>
      </c>
      <c r="L232" s="84">
        <v>982764273</v>
      </c>
      <c r="M232" s="84">
        <v>618232370</v>
      </c>
      <c r="N232" s="113">
        <f t="shared" si="55"/>
        <v>1600996643</v>
      </c>
      <c r="O232" s="113">
        <f t="shared" si="56"/>
        <v>9817180</v>
      </c>
      <c r="P232" s="113">
        <f t="shared" si="57"/>
        <v>27833689</v>
      </c>
      <c r="Q232" s="229">
        <v>0</v>
      </c>
    </row>
    <row r="233" spans="9:19">
      <c r="I233" s="189" t="s">
        <v>5355</v>
      </c>
      <c r="J233" s="188">
        <f>L233-L232+990760</f>
        <v>270597</v>
      </c>
      <c r="K233" s="189" t="s">
        <v>5354</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5356</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5357</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5361</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5362</v>
      </c>
      <c r="L237" s="84">
        <v>973935836</v>
      </c>
      <c r="M237" s="84">
        <v>612781866</v>
      </c>
      <c r="N237" s="113">
        <f t="shared" si="55"/>
        <v>1586717702</v>
      </c>
      <c r="O237" s="113">
        <f t="shared" si="56"/>
        <v>-4703074</v>
      </c>
      <c r="P237" s="113">
        <f t="shared" si="57"/>
        <v>-14274043</v>
      </c>
      <c r="Q237" s="229">
        <v>0</v>
      </c>
    </row>
    <row r="238" spans="9:19">
      <c r="I238" s="216" t="s">
        <v>5364</v>
      </c>
      <c r="J238" s="248">
        <f>L238-L237-101268</f>
        <v>10034013</v>
      </c>
      <c r="K238" s="216" t="s">
        <v>5363</v>
      </c>
      <c r="L238" s="249">
        <v>984071117</v>
      </c>
      <c r="M238" s="249">
        <v>619527192</v>
      </c>
      <c r="N238" s="248">
        <f t="shared" si="55"/>
        <v>1603598309</v>
      </c>
      <c r="O238" s="248">
        <f t="shared" si="56"/>
        <v>6745326</v>
      </c>
      <c r="P238" s="248">
        <f>N238-N237-101268</f>
        <v>16779339</v>
      </c>
      <c r="Q238" s="229">
        <v>101268</v>
      </c>
    </row>
    <row r="239" spans="9:19">
      <c r="I239" s="282" t="s">
        <v>5365</v>
      </c>
      <c r="J239" s="94">
        <f>L239-L238-101000</f>
        <v>-5512506</v>
      </c>
      <c r="K239" s="282" t="s">
        <v>5366</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5367</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5376</v>
      </c>
      <c r="L246" s="84">
        <v>998587209</v>
      </c>
      <c r="M246" s="84">
        <v>628989460</v>
      </c>
      <c r="N246" s="113">
        <f t="shared" si="59"/>
        <v>1627576669</v>
      </c>
      <c r="O246" s="113">
        <f t="shared" si="60"/>
        <v>-386804</v>
      </c>
      <c r="P246" s="113">
        <f t="shared" si="61"/>
        <v>-378799</v>
      </c>
      <c r="Q246" s="229">
        <v>0</v>
      </c>
    </row>
    <row r="247" spans="9:19">
      <c r="I247" s="189" t="s">
        <v>5378</v>
      </c>
      <c r="J247" s="188">
        <f t="shared" si="58"/>
        <v>57939414</v>
      </c>
      <c r="K247" s="189" t="s">
        <v>5377</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5382</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5383</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5384</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5385</v>
      </c>
      <c r="L255" s="84">
        <v>1154946925</v>
      </c>
      <c r="M255" s="84">
        <v>724493233</v>
      </c>
      <c r="N255" s="220">
        <f t="shared" si="63"/>
        <v>1879440158</v>
      </c>
      <c r="O255" s="113">
        <f t="shared" si="64"/>
        <v>3771085</v>
      </c>
      <c r="P255" s="113">
        <f t="shared" si="65"/>
        <v>9561690</v>
      </c>
      <c r="Q255" s="229">
        <v>0</v>
      </c>
    </row>
    <row r="256" spans="9:19">
      <c r="I256" s="213" t="s">
        <v>5386</v>
      </c>
      <c r="J256" s="113">
        <f t="shared" si="62"/>
        <v>40761008</v>
      </c>
      <c r="K256" s="213" t="s">
        <v>5387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5389</v>
      </c>
      <c r="L257" s="84">
        <v>1204397532</v>
      </c>
      <c r="M257" s="84">
        <v>768290500</v>
      </c>
      <c r="N257" s="220">
        <f t="shared" si="63"/>
        <v>1972688032</v>
      </c>
      <c r="O257" s="113">
        <f t="shared" si="64"/>
        <v>4065339</v>
      </c>
      <c r="P257" s="113">
        <f t="shared" si="65"/>
        <v>12754938</v>
      </c>
      <c r="Q257" s="229">
        <v>0</v>
      </c>
    </row>
    <row r="258" spans="9:19">
      <c r="I258" s="189" t="s">
        <v>5395</v>
      </c>
      <c r="J258" s="188">
        <f>L258-L257+488602</f>
        <v>5275127</v>
      </c>
      <c r="K258" s="189" t="s">
        <v>5393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5408</v>
      </c>
      <c r="L262" s="84">
        <v>1153433035</v>
      </c>
      <c r="M262" s="84">
        <v>736240181</v>
      </c>
      <c r="N262" s="113">
        <f t="shared" si="63"/>
        <v>1889673216</v>
      </c>
      <c r="O262" s="113">
        <f t="shared" si="64"/>
        <v>-19759819</v>
      </c>
      <c r="P262" s="113">
        <f t="shared" si="65"/>
        <v>-46326784</v>
      </c>
      <c r="Q262" s="229">
        <v>0</v>
      </c>
    </row>
    <row r="263" spans="9:19">
      <c r="I263" s="216" t="s">
        <v>5410</v>
      </c>
      <c r="J263" s="248">
        <f>L263-L262-360000</f>
        <v>-33793035</v>
      </c>
      <c r="K263" s="216" t="s">
        <v>5409</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5418</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5424</v>
      </c>
      <c r="J268" s="188">
        <f>L268-L267+3600000</f>
        <v>6784521</v>
      </c>
      <c r="K268" s="189" t="s">
        <v>5420</v>
      </c>
      <c r="L268" s="238">
        <v>1227517149</v>
      </c>
      <c r="M268" s="238">
        <v>781946723</v>
      </c>
      <c r="N268" s="220">
        <f>L268+M268</f>
        <v>2009463872</v>
      </c>
      <c r="O268" s="188">
        <f t="shared" si="68"/>
        <v>648802</v>
      </c>
      <c r="P268" s="188">
        <f>N268-N267+3600000</f>
        <v>7433323</v>
      </c>
      <c r="Q268" s="229">
        <v>-3600000</v>
      </c>
    </row>
    <row r="269" spans="9:19">
      <c r="I269" s="216" t="s">
        <v>5427</v>
      </c>
      <c r="J269" s="248">
        <f t="shared" si="66"/>
        <v>8668842</v>
      </c>
      <c r="K269" s="216" t="s">
        <v>5423</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5433</v>
      </c>
      <c r="L270" s="84">
        <v>1295586377</v>
      </c>
      <c r="M270" s="84">
        <v>830602955</v>
      </c>
      <c r="N270" s="220">
        <f t="shared" si="67"/>
        <v>2126189332</v>
      </c>
      <c r="O270" s="113">
        <f t="shared" si="68"/>
        <v>39667491</v>
      </c>
      <c r="P270" s="113">
        <f t="shared" si="69"/>
        <v>99067877</v>
      </c>
      <c r="Q270" s="229">
        <v>0</v>
      </c>
    </row>
    <row r="271" spans="9:19">
      <c r="I271" s="189" t="s">
        <v>5435</v>
      </c>
      <c r="J271" s="188">
        <f>L271-L270+1000000</f>
        <v>21062163</v>
      </c>
      <c r="K271" s="189" t="s">
        <v>5434</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5438</v>
      </c>
      <c r="L272" s="84">
        <v>1290000000</v>
      </c>
      <c r="M272" s="84">
        <v>830000000</v>
      </c>
      <c r="N272" s="113">
        <f t="shared" si="67"/>
        <v>2120000000</v>
      </c>
      <c r="O272" s="113">
        <f t="shared" si="68"/>
        <v>-7889920</v>
      </c>
      <c r="P272" s="113">
        <f t="shared" si="69"/>
        <v>-33538460</v>
      </c>
    </row>
    <row r="273" spans="9:19">
      <c r="I273" s="213"/>
      <c r="J273" s="113">
        <f t="shared" si="66"/>
        <v>5173477</v>
      </c>
      <c r="K273" s="213" t="s">
        <v>5444</v>
      </c>
      <c r="L273" s="84">
        <v>1295173477</v>
      </c>
      <c r="M273" s="84">
        <v>832119130</v>
      </c>
      <c r="N273" s="113">
        <f t="shared" si="67"/>
        <v>2127292607</v>
      </c>
      <c r="O273" s="113">
        <f t="shared" si="68"/>
        <v>2119130</v>
      </c>
      <c r="P273" s="113">
        <f t="shared" si="69"/>
        <v>7292607</v>
      </c>
    </row>
    <row r="274" spans="9:19">
      <c r="I274" s="216" t="s">
        <v>5410</v>
      </c>
      <c r="J274" s="248">
        <f>L274-L273-360000</f>
        <v>-3379409</v>
      </c>
      <c r="K274" s="216" t="s">
        <v>5445</v>
      </c>
      <c r="L274" s="249">
        <v>1292154068</v>
      </c>
      <c r="M274" s="249">
        <v>833033746</v>
      </c>
      <c r="N274" s="248">
        <f t="shared" si="67"/>
        <v>2125187814</v>
      </c>
      <c r="O274" s="248">
        <f t="shared" si="68"/>
        <v>914616</v>
      </c>
      <c r="P274" s="248">
        <f>N274-N273-360000</f>
        <v>-2464793</v>
      </c>
      <c r="Q274" s="229">
        <v>360000</v>
      </c>
    </row>
    <row r="275" spans="9:19">
      <c r="I275" s="216" t="s">
        <v>5454</v>
      </c>
      <c r="J275" s="248">
        <f>L275-L274-2000000</f>
        <v>-22946012</v>
      </c>
      <c r="K275" s="216" t="s">
        <v>5449</v>
      </c>
      <c r="L275" s="249">
        <v>1271208056</v>
      </c>
      <c r="M275" s="249">
        <v>825161254</v>
      </c>
      <c r="N275" s="248">
        <f t="shared" si="67"/>
        <v>2096369310</v>
      </c>
      <c r="O275" s="248">
        <f t="shared" si="68"/>
        <v>-7872492</v>
      </c>
      <c r="P275" s="248">
        <f>N275-N274-2000000</f>
        <v>-30818504</v>
      </c>
      <c r="Q275" s="229">
        <v>2000000</v>
      </c>
    </row>
    <row r="276" spans="9:19">
      <c r="I276" s="216" t="s">
        <v>5462</v>
      </c>
      <c r="J276" s="248">
        <f>L276-L275-15300000</f>
        <v>32802006</v>
      </c>
      <c r="K276" s="216" t="s">
        <v>5457</v>
      </c>
      <c r="L276" s="249">
        <v>1319310062</v>
      </c>
      <c r="M276" s="249">
        <v>846171439</v>
      </c>
      <c r="N276" s="248">
        <f t="shared" si="67"/>
        <v>2165481501</v>
      </c>
      <c r="O276" s="248">
        <f>M276-M275-200000</f>
        <v>20810185</v>
      </c>
      <c r="P276" s="248">
        <f>N276-N275-15500000</f>
        <v>53612191</v>
      </c>
      <c r="Q276" s="229">
        <v>15500000</v>
      </c>
    </row>
    <row r="277" spans="9:19">
      <c r="I277" s="216" t="s">
        <v>5470</v>
      </c>
      <c r="J277" s="248">
        <f>L277-L276-3000000</f>
        <v>12429762</v>
      </c>
      <c r="K277" s="216" t="s">
        <v>5466</v>
      </c>
      <c r="L277" s="249">
        <v>1334739824</v>
      </c>
      <c r="M277" s="249">
        <v>848815156</v>
      </c>
      <c r="N277" s="35">
        <f t="shared" si="67"/>
        <v>2183554980</v>
      </c>
      <c r="O277" s="248">
        <f>M277-M276-50000</f>
        <v>2593717</v>
      </c>
      <c r="P277" s="248">
        <f>N277-N276-3050000</f>
        <v>15023479</v>
      </c>
      <c r="Q277" s="229">
        <v>3050000</v>
      </c>
    </row>
    <row r="278" spans="9:19">
      <c r="I278" s="216" t="s">
        <v>5485</v>
      </c>
      <c r="J278" s="248">
        <f>L278-L277-1680000</f>
        <v>-15903030</v>
      </c>
      <c r="K278" s="216" t="s">
        <v>5477</v>
      </c>
      <c r="L278" s="249">
        <v>1320516794</v>
      </c>
      <c r="M278" s="249">
        <v>834312363</v>
      </c>
      <c r="N278" s="248">
        <f t="shared" si="67"/>
        <v>2154829157</v>
      </c>
      <c r="O278" s="248">
        <f>M278-M277-100000</f>
        <v>-14602793</v>
      </c>
      <c r="P278" s="248">
        <f>N278-N277-1600000</f>
        <v>-30325823</v>
      </c>
      <c r="Q278" s="229">
        <v>1780000</v>
      </c>
      <c r="S278" t="s">
        <v>25</v>
      </c>
    </row>
    <row r="279" spans="9:19">
      <c r="I279" s="213"/>
      <c r="J279" s="113">
        <f t="shared" si="66"/>
        <v>-1320516794</v>
      </c>
      <c r="K279" s="213">
        <v>0</v>
      </c>
      <c r="L279" s="84">
        <v>0</v>
      </c>
      <c r="M279" s="84">
        <v>0</v>
      </c>
      <c r="N279" s="113">
        <f t="shared" si="67"/>
        <v>0</v>
      </c>
      <c r="O279" s="113">
        <f t="shared" si="68"/>
        <v>-834312363</v>
      </c>
      <c r="P279" s="113">
        <f t="shared" si="69"/>
        <v>-2154829157</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5403</v>
      </c>
      <c r="AA21" t="s">
        <v>5090</v>
      </c>
    </row>
    <row r="22" spans="5:35">
      <c r="O22" s="99"/>
      <c r="P22" s="99"/>
      <c r="Q22" s="288"/>
      <c r="R22" s="288"/>
      <c r="S22" s="288"/>
      <c r="T22" s="288"/>
      <c r="U22" s="96"/>
      <c r="V22" s="96"/>
      <c r="W22" s="41" t="s">
        <v>5177</v>
      </c>
      <c r="X22" s="41">
        <v>9909620343</v>
      </c>
      <c r="Y22" s="41">
        <v>200</v>
      </c>
      <c r="Z22" s="41" t="s">
        <v>5404</v>
      </c>
      <c r="AA22" t="s">
        <v>5407</v>
      </c>
      <c r="AB22" s="41" t="s">
        <v>5417</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5403</v>
      </c>
      <c r="AA25" t="s">
        <v>5316</v>
      </c>
    </row>
    <row r="26" spans="5:35">
      <c r="O26" s="173"/>
      <c r="P26" s="173">
        <v>2123095122</v>
      </c>
      <c r="Q26" s="175" t="s">
        <v>1093</v>
      </c>
      <c r="R26" s="175" t="s">
        <v>1094</v>
      </c>
      <c r="S26" s="175" t="s">
        <v>1095</v>
      </c>
      <c r="T26" s="175" t="s">
        <v>1096</v>
      </c>
      <c r="U26" s="96"/>
      <c r="V26" s="96"/>
      <c r="W26" s="41" t="s">
        <v>5405</v>
      </c>
      <c r="X26" s="41">
        <v>9214923916</v>
      </c>
      <c r="Y26" s="41">
        <v>100</v>
      </c>
      <c r="Z26" s="41" t="s">
        <v>4528</v>
      </c>
      <c r="AA26" s="207" t="s">
        <v>5399</v>
      </c>
      <c r="AB26" s="96"/>
    </row>
    <row r="27" spans="5:35" ht="30">
      <c r="O27" s="173" t="s">
        <v>4194</v>
      </c>
      <c r="P27" s="173">
        <v>2188831909</v>
      </c>
      <c r="Q27" s="99" t="s">
        <v>4086</v>
      </c>
      <c r="R27" s="99" t="s">
        <v>4087</v>
      </c>
      <c r="S27" s="99" t="s">
        <v>4088</v>
      </c>
      <c r="T27" s="176" t="s">
        <v>4090</v>
      </c>
      <c r="U27" s="96"/>
      <c r="V27" s="96"/>
      <c r="W27" s="41" t="s">
        <v>5406</v>
      </c>
      <c r="X27" s="41">
        <v>9198507116</v>
      </c>
      <c r="Y27" s="41">
        <v>80</v>
      </c>
      <c r="Z27" s="41" t="s">
        <v>5403</v>
      </c>
      <c r="AA27" s="207" t="s">
        <v>5399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2020-02-01T15:52:40Z</dcterms:modified>
</cp:coreProperties>
</file>