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6"/>
  </bookViews>
  <sheets>
    <sheet name="AgentBased" sheetId="44" r:id="rId1"/>
    <sheet name="دی 97" sheetId="54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خرید و فروش سکه فیزیکی" sheetId="52" r:id="rId9"/>
    <sheet name="مسکن مریم سید الشهدا" sheetId="14" r:id="rId10"/>
    <sheet name="بدهی خانه" sheetId="10" r:id="rId11"/>
    <sheet name="اردیبهشت95" sheetId="5" r:id="rId12"/>
    <sheet name="خرداد 95" sheetId="4" r:id="rId13"/>
    <sheet name="تیرماه95" sheetId="2" r:id="rId14"/>
    <sheet name="مرداد 95" sheetId="3" r:id="rId15"/>
    <sheet name="شهریور 95" sheetId="6" r:id="rId16"/>
    <sheet name="مهر 95" sheetId="7" r:id="rId17"/>
    <sheet name="آبان 95" sheetId="8" r:id="rId18"/>
    <sheet name="آذر 95" sheetId="9" r:id="rId19"/>
    <sheet name="دی 95" sheetId="11" r:id="rId20"/>
    <sheet name="بهمن 95" sheetId="12" r:id="rId21"/>
    <sheet name="اسفند 95" sheetId="17" r:id="rId22"/>
    <sheet name="فروردین 96" sheetId="19" r:id="rId23"/>
    <sheet name="اردیبهشت 96" sheetId="21" r:id="rId24"/>
    <sheet name="خرداد 96" sheetId="22" r:id="rId25"/>
    <sheet name="تیر 96" sheetId="23" r:id="rId26"/>
    <sheet name="مرداد 96" sheetId="24" r:id="rId27"/>
    <sheet name="شهریور 96" sheetId="25" r:id="rId28"/>
    <sheet name="مهر96" sheetId="26" r:id="rId29"/>
    <sheet name="آبان 96" sheetId="27" r:id="rId30"/>
    <sheet name="آذر 96" sheetId="28" r:id="rId31"/>
    <sheet name="دی 96" sheetId="29" r:id="rId32"/>
    <sheet name="بهمن 96" sheetId="30" r:id="rId33"/>
    <sheet name="اسفند 96" sheetId="31" r:id="rId34"/>
    <sheet name="فروردین 97" sheetId="34" r:id="rId35"/>
    <sheet name="اردیبهشت 97" sheetId="38" r:id="rId36"/>
    <sheet name="خرداد 97" sheetId="42" r:id="rId37"/>
    <sheet name="تیر97" sheetId="43" r:id="rId38"/>
    <sheet name="مرداد97" sheetId="45" r:id="rId39"/>
    <sheet name="شهریور97" sheetId="46" r:id="rId40"/>
    <sheet name="مهر97" sheetId="48" r:id="rId41"/>
    <sheet name="آبان97" sheetId="50" r:id="rId42"/>
    <sheet name="آذر 97" sheetId="51" r:id="rId43"/>
    <sheet name="لیست خرید و فروش" sheetId="32" r:id="rId44"/>
    <sheet name="اوراق بدون ریسک" sheetId="33" r:id="rId45"/>
    <sheet name="نکات" sheetId="35" r:id="rId46"/>
    <sheet name="سکه" sheetId="36" r:id="rId47"/>
    <sheet name="apply" sheetId="37" r:id="rId48"/>
    <sheet name="بیمه" sheetId="39" r:id="rId49"/>
    <sheet name="آرشیو قیمت ارجینال" sheetId="40" r:id="rId50"/>
    <sheet name="تحلیل1" sheetId="41" r:id="rId51"/>
    <sheet name="Sheet1" sheetId="53" r:id="rId52"/>
  </sheets>
  <calcPr calcId="145621"/>
</workbook>
</file>

<file path=xl/calcChain.xml><?xml version="1.0" encoding="utf-8"?>
<calcChain xmlns="http://schemas.openxmlformats.org/spreadsheetml/2006/main">
  <c r="AJ108" i="18" l="1"/>
  <c r="AJ150" i="18"/>
  <c r="R115" i="18"/>
  <c r="R116" i="18"/>
  <c r="R114" i="18"/>
  <c r="R123" i="18"/>
  <c r="V88" i="18"/>
  <c r="W88" i="18" s="1"/>
  <c r="S55" i="18"/>
  <c r="N49" i="18"/>
  <c r="X88" i="18" l="1"/>
  <c r="D57" i="54" l="1"/>
  <c r="B27" i="52" l="1"/>
  <c r="D3" i="54"/>
  <c r="D4" i="54"/>
  <c r="I4" i="54" s="1"/>
  <c r="D5" i="54"/>
  <c r="D6" i="54"/>
  <c r="D7" i="54"/>
  <c r="D8" i="54"/>
  <c r="D9" i="54"/>
  <c r="D10" i="54"/>
  <c r="D11" i="54"/>
  <c r="D12" i="54"/>
  <c r="D13" i="54"/>
  <c r="D14" i="54"/>
  <c r="D15" i="54"/>
  <c r="D16" i="54"/>
  <c r="D17" i="54"/>
  <c r="D18" i="54"/>
  <c r="D19" i="54"/>
  <c r="D20" i="54"/>
  <c r="D21" i="54"/>
  <c r="D22" i="54"/>
  <c r="D23" i="54"/>
  <c r="D24" i="54"/>
  <c r="D25" i="54"/>
  <c r="D26" i="54"/>
  <c r="D27" i="54"/>
  <c r="D28" i="54"/>
  <c r="D29" i="54"/>
  <c r="D30" i="54"/>
  <c r="I30" i="54" s="1"/>
  <c r="C2" i="54"/>
  <c r="B2" i="54"/>
  <c r="L22" i="18"/>
  <c r="H31" i="54"/>
  <c r="G31" i="54"/>
  <c r="D31" i="54"/>
  <c r="I31" i="54" s="1"/>
  <c r="H30" i="54"/>
  <c r="G30" i="54"/>
  <c r="H29" i="54"/>
  <c r="G29" i="54"/>
  <c r="I29" i="54"/>
  <c r="H28" i="54"/>
  <c r="G28" i="54"/>
  <c r="I28" i="54"/>
  <c r="H27" i="54"/>
  <c r="G27" i="54"/>
  <c r="I27" i="54"/>
  <c r="H26" i="54"/>
  <c r="G26" i="54"/>
  <c r="I26" i="54"/>
  <c r="H25" i="54"/>
  <c r="G25" i="54"/>
  <c r="I25" i="54"/>
  <c r="H24" i="54"/>
  <c r="G24" i="54"/>
  <c r="I24" i="54"/>
  <c r="H23" i="54"/>
  <c r="G23" i="54"/>
  <c r="I23" i="54"/>
  <c r="H22" i="54"/>
  <c r="G22" i="54"/>
  <c r="I22" i="54"/>
  <c r="H21" i="54"/>
  <c r="G21" i="54"/>
  <c r="I21" i="54"/>
  <c r="H20" i="54"/>
  <c r="G20" i="54"/>
  <c r="I20" i="54"/>
  <c r="H19" i="54"/>
  <c r="G19" i="54"/>
  <c r="I19" i="54"/>
  <c r="H18" i="54"/>
  <c r="G18" i="54"/>
  <c r="I18" i="54"/>
  <c r="H17" i="54"/>
  <c r="G17" i="54"/>
  <c r="I17" i="54"/>
  <c r="H16" i="54"/>
  <c r="G16" i="54"/>
  <c r="I16" i="54"/>
  <c r="H15" i="54"/>
  <c r="G15" i="54"/>
  <c r="I15" i="54"/>
  <c r="H14" i="54"/>
  <c r="G14" i="54"/>
  <c r="I14" i="54"/>
  <c r="H13" i="54"/>
  <c r="G13" i="54"/>
  <c r="I13" i="54"/>
  <c r="H12" i="54"/>
  <c r="G12" i="54"/>
  <c r="I12" i="54"/>
  <c r="H11" i="54"/>
  <c r="G11" i="54"/>
  <c r="I11" i="54"/>
  <c r="H10" i="54"/>
  <c r="G10" i="54"/>
  <c r="I10" i="54"/>
  <c r="H9" i="54"/>
  <c r="G9" i="54"/>
  <c r="I9" i="54"/>
  <c r="H8" i="54"/>
  <c r="G8" i="54"/>
  <c r="I8" i="54"/>
  <c r="H7" i="54"/>
  <c r="G7" i="54"/>
  <c r="I7" i="54"/>
  <c r="H6" i="54"/>
  <c r="G6" i="54"/>
  <c r="I6" i="54"/>
  <c r="H5" i="54"/>
  <c r="G5" i="54"/>
  <c r="I5" i="54"/>
  <c r="H4" i="54"/>
  <c r="G4" i="54"/>
  <c r="H3" i="54"/>
  <c r="G3" i="54"/>
  <c r="I3" i="54"/>
  <c r="H2" i="54"/>
  <c r="C32" i="54"/>
  <c r="B32" i="54"/>
  <c r="H33" i="54" l="1"/>
  <c r="G2" i="54"/>
  <c r="G33" i="54" s="1"/>
  <c r="D2" i="54"/>
  <c r="Q18" i="52"/>
  <c r="J20" i="52"/>
  <c r="J19" i="52"/>
  <c r="J18" i="52"/>
  <c r="H38" i="54" l="1"/>
  <c r="I2" i="54"/>
  <c r="I33" i="54" s="1"/>
  <c r="I38" i="54" s="1"/>
  <c r="D32" i="54"/>
  <c r="N102" i="18"/>
  <c r="N103" i="18"/>
  <c r="N104" i="18"/>
  <c r="N105" i="18"/>
  <c r="N106" i="18"/>
  <c r="N107" i="18"/>
  <c r="N108" i="18"/>
  <c r="N109" i="18"/>
  <c r="N101" i="18"/>
  <c r="B270" i="20" l="1"/>
  <c r="C270" i="20"/>
  <c r="M13" i="52"/>
  <c r="M12" i="52"/>
  <c r="M6" i="52"/>
  <c r="L12" i="52" s="1"/>
  <c r="N4" i="52"/>
  <c r="N3" i="52"/>
  <c r="N2" i="52"/>
  <c r="K19" i="52" l="1"/>
  <c r="N6" i="52"/>
  <c r="M8" i="52" s="1"/>
  <c r="AJ102" i="18"/>
  <c r="D266" i="20" l="1"/>
  <c r="H266" i="20"/>
  <c r="G30" i="51"/>
  <c r="H30" i="51"/>
  <c r="D30" i="51"/>
  <c r="I30" i="51" s="1"/>
  <c r="D265" i="20" l="1"/>
  <c r="H265" i="20"/>
  <c r="G29" i="51"/>
  <c r="H29" i="51"/>
  <c r="D29" i="51"/>
  <c r="I29" i="51" s="1"/>
  <c r="W122" i="18" l="1"/>
  <c r="U124" i="18"/>
  <c r="N35" i="18"/>
  <c r="G28" i="51"/>
  <c r="H28" i="51"/>
  <c r="D28" i="51"/>
  <c r="I28" i="51" s="1"/>
  <c r="D264" i="20"/>
  <c r="H264" i="20"/>
  <c r="G27" i="51" l="1"/>
  <c r="H27" i="51"/>
  <c r="D27" i="51"/>
  <c r="I27" i="51" s="1"/>
  <c r="G26" i="51"/>
  <c r="H26" i="51"/>
  <c r="D26" i="51"/>
  <c r="I26" i="51" s="1"/>
  <c r="W121" i="18" l="1"/>
  <c r="P28" i="18"/>
  <c r="N28" i="18" s="1"/>
  <c r="P24" i="18"/>
  <c r="N24" i="18" s="1"/>
  <c r="N47" i="18" l="1"/>
  <c r="AS38" i="18"/>
  <c r="N48" i="18" l="1"/>
  <c r="L33" i="18" l="1"/>
  <c r="W115" i="18" l="1"/>
  <c r="W116" i="18"/>
  <c r="W117" i="18"/>
  <c r="W118" i="18"/>
  <c r="W119" i="18"/>
  <c r="W120" i="18"/>
  <c r="W123" i="18"/>
  <c r="W114" i="18"/>
  <c r="N50" i="18" l="1"/>
  <c r="R150" i="18" l="1"/>
  <c r="R159" i="18"/>
  <c r="R137" i="18"/>
  <c r="T140" i="18" l="1"/>
  <c r="T98" i="18"/>
  <c r="S39" i="18"/>
  <c r="S40" i="18" s="1"/>
  <c r="S41" i="18" s="1"/>
  <c r="R119" i="18"/>
  <c r="R118" i="18"/>
  <c r="R117" i="18"/>
  <c r="AJ146" i="18"/>
  <c r="D57" i="51"/>
  <c r="S42" i="18" l="1"/>
  <c r="S43" i="18" s="1"/>
  <c r="S44" i="18" s="1"/>
  <c r="M75" i="18" l="1"/>
  <c r="P27" i="18" l="1"/>
  <c r="N27" i="18" s="1"/>
  <c r="Q46" i="18" l="1"/>
  <c r="C2" i="51"/>
  <c r="H2" i="51" s="1"/>
  <c r="B2" i="51"/>
  <c r="B32" i="51" s="1"/>
  <c r="G33" i="48"/>
  <c r="H31" i="51"/>
  <c r="G31" i="51"/>
  <c r="D31" i="51"/>
  <c r="I31" i="51" s="1"/>
  <c r="H25" i="51"/>
  <c r="G25" i="51"/>
  <c r="D25" i="51"/>
  <c r="I25" i="51" s="1"/>
  <c r="H24" i="51"/>
  <c r="G24" i="51"/>
  <c r="D24" i="51"/>
  <c r="I24" i="51" s="1"/>
  <c r="H23" i="51"/>
  <c r="G23" i="51"/>
  <c r="D23" i="51"/>
  <c r="I23" i="51" s="1"/>
  <c r="H22" i="51"/>
  <c r="G22" i="51"/>
  <c r="D22" i="51"/>
  <c r="I22" i="51" s="1"/>
  <c r="H21" i="51"/>
  <c r="G21" i="51"/>
  <c r="D21" i="51"/>
  <c r="I21" i="51" s="1"/>
  <c r="H20" i="51"/>
  <c r="G20" i="51"/>
  <c r="D20" i="51"/>
  <c r="I20" i="51" s="1"/>
  <c r="H19" i="51"/>
  <c r="G19" i="51"/>
  <c r="D19" i="51"/>
  <c r="I19" i="51" s="1"/>
  <c r="H18" i="51"/>
  <c r="G18" i="51"/>
  <c r="D18" i="51"/>
  <c r="I18" i="51" s="1"/>
  <c r="H17" i="51"/>
  <c r="G17" i="51"/>
  <c r="D17" i="51"/>
  <c r="I17" i="51" s="1"/>
  <c r="H16" i="51"/>
  <c r="G16" i="51"/>
  <c r="D16" i="51"/>
  <c r="I16" i="51" s="1"/>
  <c r="H15" i="51"/>
  <c r="G15" i="51"/>
  <c r="D15" i="51"/>
  <c r="I15" i="51" s="1"/>
  <c r="H14" i="51"/>
  <c r="G14" i="51"/>
  <c r="D14" i="51"/>
  <c r="I14" i="51" s="1"/>
  <c r="H13" i="51"/>
  <c r="G13" i="51"/>
  <c r="D13" i="51"/>
  <c r="I13" i="51" s="1"/>
  <c r="H12" i="51"/>
  <c r="G12" i="51"/>
  <c r="D12" i="51"/>
  <c r="I12" i="51" s="1"/>
  <c r="H11" i="51"/>
  <c r="G11" i="51"/>
  <c r="D11" i="51"/>
  <c r="I11" i="51" s="1"/>
  <c r="H10" i="51"/>
  <c r="G10" i="51"/>
  <c r="D10" i="51"/>
  <c r="I10" i="51" s="1"/>
  <c r="H9" i="51"/>
  <c r="G9" i="51"/>
  <c r="D9" i="51"/>
  <c r="I9" i="51" s="1"/>
  <c r="H8" i="51"/>
  <c r="G8" i="51"/>
  <c r="D8" i="51"/>
  <c r="I8" i="51" s="1"/>
  <c r="H7" i="51"/>
  <c r="G7" i="51"/>
  <c r="D7" i="51"/>
  <c r="I7" i="51" s="1"/>
  <c r="H6" i="51"/>
  <c r="G6" i="51"/>
  <c r="D6" i="51"/>
  <c r="I6" i="51" s="1"/>
  <c r="H5" i="51"/>
  <c r="G5" i="51"/>
  <c r="D5" i="51"/>
  <c r="I5" i="51" s="1"/>
  <c r="H4" i="51"/>
  <c r="G4" i="51"/>
  <c r="D4" i="51"/>
  <c r="I4" i="51" s="1"/>
  <c r="H3" i="51"/>
  <c r="G3" i="51"/>
  <c r="D3" i="51"/>
  <c r="I3" i="51" s="1"/>
  <c r="G2" i="51"/>
  <c r="G33" i="51" l="1"/>
  <c r="C32" i="51"/>
  <c r="H33" i="51"/>
  <c r="D2" i="51"/>
  <c r="D32" i="51" s="1"/>
  <c r="R10" i="49"/>
  <c r="S10" i="49"/>
  <c r="R9" i="49"/>
  <c r="H38" i="51" l="1"/>
  <c r="I2" i="51"/>
  <c r="I33" i="51" s="1"/>
  <c r="I38" i="51" s="1"/>
  <c r="S20" i="18"/>
  <c r="S21" i="18" s="1"/>
  <c r="N46" i="18" l="1"/>
  <c r="D108" i="50" l="1"/>
  <c r="P23" i="18" l="1"/>
  <c r="N45" i="18"/>
  <c r="C8" i="36" l="1"/>
  <c r="N41" i="18" l="1"/>
  <c r="N22" i="33" l="1"/>
  <c r="R22" i="33" s="1"/>
  <c r="E22" i="33"/>
  <c r="AL101" i="18"/>
  <c r="AL100" i="18" s="1"/>
  <c r="AL99" i="18" s="1"/>
  <c r="AL98" i="18" l="1"/>
  <c r="AM99" i="18"/>
  <c r="AM100" i="18"/>
  <c r="C22" i="33"/>
  <c r="J22" i="33"/>
  <c r="F22" i="33"/>
  <c r="AM101" i="18"/>
  <c r="B22" i="33"/>
  <c r="I22" i="33"/>
  <c r="L22" i="33"/>
  <c r="H22" i="33"/>
  <c r="D22" i="33"/>
  <c r="K22" i="33"/>
  <c r="G22" i="33"/>
  <c r="AL97" i="18" l="1"/>
  <c r="AM97" i="18" s="1"/>
  <c r="AM98" i="18"/>
  <c r="AL144" i="18"/>
  <c r="AL96" i="18" l="1"/>
  <c r="AL143" i="18"/>
  <c r="AM144" i="18"/>
  <c r="AL95" i="18"/>
  <c r="AM96" i="18"/>
  <c r="S22" i="18"/>
  <c r="S23" i="18" s="1"/>
  <c r="S24" i="18" s="1"/>
  <c r="S25" i="18" s="1"/>
  <c r="P22" i="18"/>
  <c r="N22" i="18" s="1"/>
  <c r="N44" i="18"/>
  <c r="AL142" i="18" l="1"/>
  <c r="AM143" i="18"/>
  <c r="AL94" i="18"/>
  <c r="AM95" i="18"/>
  <c r="AL141" i="18" l="1"/>
  <c r="AM142" i="18"/>
  <c r="AL93" i="18"/>
  <c r="AM94" i="18"/>
  <c r="AL140" i="18" l="1"/>
  <c r="AM141" i="18"/>
  <c r="AL92" i="18"/>
  <c r="AM93" i="18"/>
  <c r="S26" i="18"/>
  <c r="S27" i="18" s="1"/>
  <c r="S28" i="18" s="1"/>
  <c r="N75" i="18"/>
  <c r="AL139" i="18" l="1"/>
  <c r="AM140" i="18"/>
  <c r="S29" i="18"/>
  <c r="S30" i="18" s="1"/>
  <c r="S31" i="18" s="1"/>
  <c r="S32" i="18" s="1"/>
  <c r="AL91" i="18"/>
  <c r="AM92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M139" i="18" l="1"/>
  <c r="AL138" i="18"/>
  <c r="AL90" i="18"/>
  <c r="AM91" i="18"/>
  <c r="D73" i="48"/>
  <c r="N23" i="18"/>
  <c r="AL137" i="18" l="1"/>
  <c r="AM138" i="18"/>
  <c r="AM90" i="18"/>
  <c r="AL89" i="18"/>
  <c r="AL136" i="18" l="1"/>
  <c r="AM137" i="18"/>
  <c r="AL88" i="18"/>
  <c r="AM89" i="18"/>
  <c r="P55" i="18"/>
  <c r="AL135" i="18" l="1"/>
  <c r="AM136" i="18"/>
  <c r="AL87" i="18"/>
  <c r="AM88" i="18"/>
  <c r="AL134" i="18" l="1"/>
  <c r="AM135" i="18"/>
  <c r="AM87" i="18"/>
  <c r="AL86" i="18"/>
  <c r="N23" i="33"/>
  <c r="D23" i="33" s="1"/>
  <c r="AL133" i="18" l="1"/>
  <c r="AM134" i="18"/>
  <c r="AL85" i="18"/>
  <c r="AM86" i="18"/>
  <c r="K23" i="33"/>
  <c r="G23" i="33"/>
  <c r="C23" i="33"/>
  <c r="B23" i="33"/>
  <c r="I23" i="33"/>
  <c r="L23" i="33"/>
  <c r="H23" i="33"/>
  <c r="R23" i="33"/>
  <c r="J23" i="33"/>
  <c r="F23" i="33"/>
  <c r="E23" i="33"/>
  <c r="G4" i="49"/>
  <c r="G5" i="49"/>
  <c r="G6" i="49"/>
  <c r="G7" i="49"/>
  <c r="G8" i="49"/>
  <c r="G9" i="49"/>
  <c r="G10" i="49"/>
  <c r="G11" i="49"/>
  <c r="G12" i="49"/>
  <c r="G13" i="49"/>
  <c r="G14" i="49"/>
  <c r="G15" i="49"/>
  <c r="G16" i="49"/>
  <c r="G17" i="49"/>
  <c r="G18" i="49"/>
  <c r="G19" i="49"/>
  <c r="G20" i="49"/>
  <c r="G21" i="49"/>
  <c r="G22" i="49"/>
  <c r="G23" i="49"/>
  <c r="G24" i="49"/>
  <c r="G3" i="49"/>
  <c r="G26" i="49" s="1"/>
  <c r="F4" i="49"/>
  <c r="F26" i="49" s="1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4" i="49"/>
  <c r="E5" i="49"/>
  <c r="E6" i="49" s="1"/>
  <c r="E7" i="49" s="1"/>
  <c r="E8" i="49" s="1"/>
  <c r="E9" i="49" s="1"/>
  <c r="E10" i="49" s="1"/>
  <c r="E11" i="49" s="1"/>
  <c r="E12" i="49" s="1"/>
  <c r="E13" i="49" s="1"/>
  <c r="E14" i="49" s="1"/>
  <c r="E15" i="49" s="1"/>
  <c r="E16" i="49" s="1"/>
  <c r="E17" i="49" s="1"/>
  <c r="E18" i="49" s="1"/>
  <c r="E19" i="49" s="1"/>
  <c r="E20" i="49" s="1"/>
  <c r="E21" i="49" s="1"/>
  <c r="E22" i="49" s="1"/>
  <c r="E23" i="49" s="1"/>
  <c r="E24" i="49" s="1"/>
  <c r="E3" i="49"/>
  <c r="O3" i="49"/>
  <c r="AL132" i="18" l="1"/>
  <c r="AM133" i="18"/>
  <c r="AL84" i="18"/>
  <c r="AM85" i="18"/>
  <c r="P21" i="18"/>
  <c r="N21" i="18" s="1"/>
  <c r="B263" i="15"/>
  <c r="AL131" i="18" l="1"/>
  <c r="AM132" i="18"/>
  <c r="Q34" i="18"/>
  <c r="AM84" i="18"/>
  <c r="AL83" i="18"/>
  <c r="AJ151" i="18"/>
  <c r="AL130" i="18" l="1"/>
  <c r="AM131" i="18"/>
  <c r="AM83" i="18"/>
  <c r="AL82" i="18"/>
  <c r="S56" i="18"/>
  <c r="S57" i="18" s="1"/>
  <c r="AM130" i="18" l="1"/>
  <c r="AL129" i="18"/>
  <c r="AL81" i="18"/>
  <c r="AM82" i="18"/>
  <c r="AL128" i="18" l="1"/>
  <c r="AM129" i="18"/>
  <c r="AL80" i="18"/>
  <c r="AM80" i="18" s="1"/>
  <c r="AM81" i="18"/>
  <c r="AM128" i="18" l="1"/>
  <c r="AL127" i="18"/>
  <c r="AM127" i="18" l="1"/>
  <c r="AL126" i="18"/>
  <c r="B8" i="36"/>
  <c r="AL125" i="18" l="1"/>
  <c r="AM126" i="18"/>
  <c r="B10" i="36"/>
  <c r="AL124" i="18" l="1"/>
  <c r="AM125" i="18"/>
  <c r="S58" i="18"/>
  <c r="S59" i="18" l="1"/>
  <c r="S60" i="18" s="1"/>
  <c r="S61" i="18" s="1"/>
  <c r="S62" i="18" s="1"/>
  <c r="S63" i="18" s="1"/>
  <c r="S64" i="18" s="1"/>
  <c r="AL123" i="18"/>
  <c r="AM124" i="18"/>
  <c r="N25" i="33"/>
  <c r="N24" i="33"/>
  <c r="N21" i="33"/>
  <c r="N20" i="33"/>
  <c r="N19" i="33"/>
  <c r="N18" i="33"/>
  <c r="L18" i="33" s="1"/>
  <c r="N17" i="33"/>
  <c r="N9" i="33"/>
  <c r="N3" i="33"/>
  <c r="N4" i="33"/>
  <c r="AM123" i="18" l="1"/>
  <c r="AL122" i="18"/>
  <c r="S65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M122" i="18" l="1"/>
  <c r="AL121" i="18"/>
  <c r="S66" i="18"/>
  <c r="AC15" i="33"/>
  <c r="AM121" i="18" l="1"/>
  <c r="AL120" i="18"/>
  <c r="S67" i="18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N16" i="33"/>
  <c r="AM120" i="18" l="1"/>
  <c r="AL119" i="18"/>
  <c r="AM119" i="18" s="1"/>
  <c r="AM146" i="18" s="1"/>
  <c r="AN146" i="18" s="1"/>
  <c r="AJ149" i="18" s="1"/>
  <c r="S84" i="18"/>
  <c r="S85" i="18" s="1"/>
  <c r="L16" i="33"/>
  <c r="J16" i="33"/>
  <c r="F16" i="33"/>
  <c r="C16" i="33"/>
  <c r="K16" i="33"/>
  <c r="G16" i="33"/>
  <c r="H16" i="33"/>
  <c r="D16" i="33"/>
  <c r="I16" i="33"/>
  <c r="E16" i="33"/>
  <c r="B16" i="33"/>
  <c r="R16" i="33"/>
  <c r="S86" i="18" l="1"/>
  <c r="S87" i="18" s="1"/>
  <c r="S88" i="18" s="1"/>
  <c r="AJ152" i="18"/>
  <c r="AJ153" i="18" s="1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7" i="20"/>
  <c r="H268" i="20"/>
  <c r="H269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7" i="20"/>
  <c r="D268" i="20"/>
  <c r="D269" i="20"/>
  <c r="D270" i="20" l="1"/>
  <c r="AR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D28" i="46" l="1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9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I269" i="20" l="1"/>
  <c r="J269" i="20"/>
  <c r="G268" i="20"/>
  <c r="K269" i="20"/>
  <c r="G267" i="20" l="1"/>
  <c r="J268" i="20"/>
  <c r="I268" i="20"/>
  <c r="K268" i="20"/>
  <c r="AL79" i="18"/>
  <c r="G25" i="46"/>
  <c r="H25" i="46"/>
  <c r="D25" i="46"/>
  <c r="I25" i="46" s="1"/>
  <c r="G266" i="20" l="1"/>
  <c r="J267" i="20"/>
  <c r="K267" i="20"/>
  <c r="I267" i="20"/>
  <c r="AL78" i="18"/>
  <c r="AM79" i="18"/>
  <c r="D88" i="46"/>
  <c r="G24" i="46"/>
  <c r="H24" i="46"/>
  <c r="D24" i="46"/>
  <c r="I24" i="46" s="1"/>
  <c r="G23" i="46"/>
  <c r="H23" i="46"/>
  <c r="D23" i="46"/>
  <c r="I23" i="46" s="1"/>
  <c r="G265" i="20" l="1"/>
  <c r="I266" i="20"/>
  <c r="K266" i="20"/>
  <c r="J266" i="20"/>
  <c r="AL77" i="18"/>
  <c r="AM78" i="18"/>
  <c r="N55" i="18"/>
  <c r="G264" i="20" l="1"/>
  <c r="J265" i="20"/>
  <c r="I265" i="20"/>
  <c r="K265" i="20"/>
  <c r="AL76" i="18"/>
  <c r="AM77" i="18"/>
  <c r="G263" i="20" l="1"/>
  <c r="K264" i="20"/>
  <c r="I264" i="20"/>
  <c r="J264" i="20"/>
  <c r="AL75" i="18"/>
  <c r="AM76" i="18"/>
  <c r="N42" i="18"/>
  <c r="K263" i="20" l="1"/>
  <c r="I263" i="20"/>
  <c r="G262" i="20"/>
  <c r="J263" i="20"/>
  <c r="Q90" i="18"/>
  <c r="T127" i="18"/>
  <c r="AJ109" i="18"/>
  <c r="AL74" i="18"/>
  <c r="AM75" i="18"/>
  <c r="G261" i="20" l="1"/>
  <c r="I262" i="20"/>
  <c r="K262" i="20"/>
  <c r="J262" i="20"/>
  <c r="U140" i="18"/>
  <c r="AL73" i="18"/>
  <c r="AM74" i="18"/>
  <c r="N81" i="18"/>
  <c r="K261" i="20" l="1"/>
  <c r="J261" i="20"/>
  <c r="G260" i="20"/>
  <c r="I261" i="20"/>
  <c r="V87" i="18"/>
  <c r="V32" i="18"/>
  <c r="V85" i="18"/>
  <c r="X85" i="18" s="1"/>
  <c r="V86" i="18"/>
  <c r="V83" i="18"/>
  <c r="V84" i="18"/>
  <c r="V82" i="18"/>
  <c r="V81" i="18"/>
  <c r="V31" i="18"/>
  <c r="W31" i="18" s="1"/>
  <c r="V80" i="18"/>
  <c r="V79" i="18"/>
  <c r="W79" i="18" s="1"/>
  <c r="V44" i="18"/>
  <c r="V30" i="18"/>
  <c r="X30" i="18" s="1"/>
  <c r="V43" i="18"/>
  <c r="V77" i="18"/>
  <c r="V78" i="18"/>
  <c r="V45" i="18"/>
  <c r="V41" i="18"/>
  <c r="V42" i="18"/>
  <c r="V29" i="18"/>
  <c r="W29" i="18" s="1"/>
  <c r="V76" i="18"/>
  <c r="V74" i="18"/>
  <c r="W74" i="18" s="1"/>
  <c r="V75" i="18"/>
  <c r="S102" i="18"/>
  <c r="V72" i="18"/>
  <c r="W72" i="18" s="1"/>
  <c r="V73" i="18"/>
  <c r="V69" i="18"/>
  <c r="W69" i="18" s="1"/>
  <c r="V71" i="18"/>
  <c r="V70" i="18"/>
  <c r="V140" i="18"/>
  <c r="V68" i="18"/>
  <c r="V67" i="18"/>
  <c r="V40" i="18"/>
  <c r="V65" i="18"/>
  <c r="V66" i="18"/>
  <c r="V28" i="18"/>
  <c r="V64" i="18"/>
  <c r="V27" i="18"/>
  <c r="V25" i="18"/>
  <c r="V26" i="18"/>
  <c r="V63" i="18"/>
  <c r="V62" i="18"/>
  <c r="V61" i="18"/>
  <c r="V24" i="18"/>
  <c r="V60" i="18"/>
  <c r="V59" i="18"/>
  <c r="V57" i="18"/>
  <c r="V58" i="18"/>
  <c r="V21" i="18"/>
  <c r="V23" i="18"/>
  <c r="V54" i="18"/>
  <c r="V20" i="18"/>
  <c r="V22" i="18"/>
  <c r="V55" i="18"/>
  <c r="V56" i="18"/>
  <c r="AL72" i="18"/>
  <c r="AM73" i="18"/>
  <c r="W85" i="18" l="1"/>
  <c r="J260" i="20"/>
  <c r="I260" i="20"/>
  <c r="G259" i="20"/>
  <c r="K260" i="20"/>
  <c r="W32" i="18"/>
  <c r="X32" i="18"/>
  <c r="W87" i="18"/>
  <c r="X87" i="18"/>
  <c r="W86" i="18"/>
  <c r="X86" i="18"/>
  <c r="W84" i="18"/>
  <c r="X84" i="18"/>
  <c r="X83" i="18"/>
  <c r="W83" i="18"/>
  <c r="W81" i="18"/>
  <c r="X81" i="18"/>
  <c r="W82" i="18"/>
  <c r="X82" i="18"/>
  <c r="X31" i="18"/>
  <c r="W80" i="18"/>
  <c r="X80" i="18"/>
  <c r="X79" i="18"/>
  <c r="W44" i="18"/>
  <c r="X44" i="18"/>
  <c r="W30" i="18"/>
  <c r="W43" i="18"/>
  <c r="X43" i="18"/>
  <c r="W78" i="18"/>
  <c r="X78" i="18"/>
  <c r="W77" i="18"/>
  <c r="X77" i="18"/>
  <c r="X41" i="18"/>
  <c r="W41" i="18"/>
  <c r="W42" i="18"/>
  <c r="X42" i="18"/>
  <c r="W45" i="18"/>
  <c r="X45" i="18"/>
  <c r="W76" i="18"/>
  <c r="X76" i="18"/>
  <c r="X29" i="18"/>
  <c r="X74" i="18"/>
  <c r="W75" i="18"/>
  <c r="X75" i="18"/>
  <c r="X72" i="18"/>
  <c r="X73" i="18"/>
  <c r="W73" i="18"/>
  <c r="X69" i="18"/>
  <c r="W70" i="18"/>
  <c r="X70" i="18"/>
  <c r="W71" i="18"/>
  <c r="X71" i="18"/>
  <c r="V130" i="18"/>
  <c r="S101" i="18"/>
  <c r="N31" i="18" s="1"/>
  <c r="L21" i="18" s="1"/>
  <c r="N58" i="18"/>
  <c r="S100" i="18"/>
  <c r="W67" i="18"/>
  <c r="X67" i="18"/>
  <c r="X68" i="18"/>
  <c r="W68" i="18"/>
  <c r="X40" i="18"/>
  <c r="W40" i="18"/>
  <c r="W22" i="18"/>
  <c r="X22" i="18"/>
  <c r="W21" i="18"/>
  <c r="X21" i="18"/>
  <c r="W59" i="18"/>
  <c r="X59" i="18"/>
  <c r="W61" i="18"/>
  <c r="X61" i="18"/>
  <c r="W64" i="18"/>
  <c r="X64" i="18"/>
  <c r="W56" i="18"/>
  <c r="X56" i="18"/>
  <c r="W62" i="18"/>
  <c r="X62" i="18"/>
  <c r="W26" i="18"/>
  <c r="X26" i="18"/>
  <c r="W28" i="18"/>
  <c r="X28" i="18"/>
  <c r="W20" i="18"/>
  <c r="X20" i="18"/>
  <c r="W58" i="18"/>
  <c r="X58" i="18"/>
  <c r="W25" i="18"/>
  <c r="X25" i="18"/>
  <c r="X65" i="18"/>
  <c r="W65" i="18"/>
  <c r="W55" i="18"/>
  <c r="X55" i="18"/>
  <c r="W54" i="18"/>
  <c r="X54" i="18"/>
  <c r="W60" i="18"/>
  <c r="X60" i="18"/>
  <c r="W23" i="18"/>
  <c r="X23" i="18"/>
  <c r="W57" i="18"/>
  <c r="X57" i="18"/>
  <c r="X24" i="18"/>
  <c r="W24" i="18"/>
  <c r="W63" i="18"/>
  <c r="X63" i="18"/>
  <c r="W27" i="18"/>
  <c r="X27" i="18"/>
  <c r="X66" i="18"/>
  <c r="W66" i="18"/>
  <c r="AL71" i="18"/>
  <c r="AM72" i="18"/>
  <c r="G258" i="20" l="1"/>
  <c r="K259" i="20"/>
  <c r="J259" i="20"/>
  <c r="I259" i="20"/>
  <c r="U101" i="18"/>
  <c r="V101" i="18" s="1"/>
  <c r="AL70" i="18"/>
  <c r="AM71" i="18"/>
  <c r="G257" i="20" l="1"/>
  <c r="K258" i="20"/>
  <c r="J258" i="20"/>
  <c r="I258" i="20"/>
  <c r="AL69" i="18"/>
  <c r="AM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G256" i="20" l="1"/>
  <c r="I257" i="20"/>
  <c r="J257" i="20"/>
  <c r="K257" i="20"/>
  <c r="AL68" i="18"/>
  <c r="AM69" i="18"/>
  <c r="N2" i="33"/>
  <c r="G255" i="20" l="1"/>
  <c r="K256" i="20"/>
  <c r="J256" i="20"/>
  <c r="I256" i="20"/>
  <c r="AL67" i="18"/>
  <c r="AM68" i="18"/>
  <c r="I2" i="33"/>
  <c r="E2" i="33"/>
  <c r="J2" i="33"/>
  <c r="F2" i="33"/>
  <c r="K2" i="33"/>
  <c r="G2" i="33"/>
  <c r="D2" i="33"/>
  <c r="C2" i="33"/>
  <c r="H2" i="33"/>
  <c r="D73" i="45"/>
  <c r="G254" i="20" l="1"/>
  <c r="I255" i="20"/>
  <c r="J255" i="20"/>
  <c r="K255" i="20"/>
  <c r="AL66" i="18"/>
  <c r="AM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K254" i="20" l="1"/>
  <c r="I254" i="20"/>
  <c r="J254" i="20"/>
  <c r="G253" i="20"/>
  <c r="AL65" i="18"/>
  <c r="AM66" i="18"/>
  <c r="E45" i="14"/>
  <c r="G252" i="20" l="1"/>
  <c r="J253" i="20"/>
  <c r="I253" i="20"/>
  <c r="K253" i="20"/>
  <c r="AL64" i="18"/>
  <c r="AM65" i="18"/>
  <c r="E44" i="14"/>
  <c r="K252" i="20" l="1"/>
  <c r="I252" i="20"/>
  <c r="G251" i="20"/>
  <c r="J252" i="20"/>
  <c r="AM64" i="18"/>
  <c r="AL63" i="18"/>
  <c r="E43" i="14"/>
  <c r="G250" i="20" l="1"/>
  <c r="J251" i="20"/>
  <c r="I251" i="20"/>
  <c r="K251" i="20"/>
  <c r="AL62" i="18"/>
  <c r="AM63" i="18"/>
  <c r="E42" i="14"/>
  <c r="G42" i="14" s="1"/>
  <c r="G249" i="20" l="1"/>
  <c r="J250" i="20"/>
  <c r="I250" i="20"/>
  <c r="K250" i="20"/>
  <c r="AL61" i="18"/>
  <c r="AM62" i="18"/>
  <c r="E41" i="14"/>
  <c r="G41" i="14" s="1"/>
  <c r="I249" i="20" l="1"/>
  <c r="G248" i="20"/>
  <c r="K249" i="20"/>
  <c r="J249" i="20"/>
  <c r="AM61" i="18"/>
  <c r="AL60" i="18"/>
  <c r="E40" i="14"/>
  <c r="G40" i="14" s="1"/>
  <c r="G247" i="20" l="1"/>
  <c r="I248" i="20"/>
  <c r="J248" i="20"/>
  <c r="K248" i="20"/>
  <c r="AL59" i="18"/>
  <c r="AM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G246" i="20" l="1"/>
  <c r="K247" i="20"/>
  <c r="I247" i="20"/>
  <c r="J247" i="20"/>
  <c r="AM59" i="18"/>
  <c r="AL58" i="18"/>
  <c r="E38" i="14"/>
  <c r="G38" i="14" s="1"/>
  <c r="G245" i="20" l="1"/>
  <c r="J246" i="20"/>
  <c r="K246" i="20"/>
  <c r="I246" i="20"/>
  <c r="AL57" i="18"/>
  <c r="AM58" i="18"/>
  <c r="E37" i="14"/>
  <c r="G37" i="14" s="1"/>
  <c r="G244" i="20" l="1"/>
  <c r="I245" i="20"/>
  <c r="K245" i="20"/>
  <c r="J245" i="20"/>
  <c r="AL56" i="18"/>
  <c r="AM57" i="18"/>
  <c r="E36" i="14"/>
  <c r="G36" i="14" s="1"/>
  <c r="B105" i="13"/>
  <c r="B196" i="13" s="1"/>
  <c r="K244" i="20" l="1"/>
  <c r="J244" i="20"/>
  <c r="G243" i="20"/>
  <c r="I244" i="20"/>
  <c r="F105" i="13"/>
  <c r="AM56" i="18"/>
  <c r="AL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G242" i="20" l="1"/>
  <c r="K243" i="20"/>
  <c r="I243" i="20"/>
  <c r="J243" i="20"/>
  <c r="AM55" i="18"/>
  <c r="AL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G241" i="20" l="1"/>
  <c r="K242" i="20"/>
  <c r="I242" i="20"/>
  <c r="J242" i="20"/>
  <c r="AL53" i="18"/>
  <c r="AM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G240" i="20" l="1"/>
  <c r="I241" i="20"/>
  <c r="K241" i="20"/>
  <c r="J241" i="20"/>
  <c r="C27" i="50"/>
  <c r="H2" i="50"/>
  <c r="H28" i="50" s="1"/>
  <c r="AM53" i="18"/>
  <c r="AL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239" i="20" l="1"/>
  <c r="K240" i="20"/>
  <c r="I240" i="20"/>
  <c r="J240" i="20"/>
  <c r="H33" i="48"/>
  <c r="B27" i="50"/>
  <c r="D2" i="50"/>
  <c r="G2" i="50"/>
  <c r="G28" i="50" s="1"/>
  <c r="AL51" i="18"/>
  <c r="AM52" i="18"/>
  <c r="D27" i="48"/>
  <c r="E253" i="15"/>
  <c r="E252" i="15"/>
  <c r="G238" i="20" l="1"/>
  <c r="I239" i="20"/>
  <c r="K239" i="20"/>
  <c r="J239" i="20"/>
  <c r="G33" i="50"/>
  <c r="H33" i="50" s="1"/>
  <c r="I33" i="48"/>
  <c r="I2" i="50"/>
  <c r="I28" i="50" s="1"/>
  <c r="I33" i="50" s="1"/>
  <c r="D27" i="50"/>
  <c r="AL50" i="18"/>
  <c r="AM51" i="18"/>
  <c r="E251" i="15"/>
  <c r="E250" i="15"/>
  <c r="D171" i="20"/>
  <c r="J238" i="20" l="1"/>
  <c r="K238" i="20"/>
  <c r="G237" i="20"/>
  <c r="I238" i="20"/>
  <c r="AM50" i="18"/>
  <c r="AL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K237" i="20" l="1"/>
  <c r="I237" i="20"/>
  <c r="G236" i="20"/>
  <c r="J237" i="20"/>
  <c r="AL48" i="18"/>
  <c r="AM49" i="18"/>
  <c r="E30" i="14"/>
  <c r="G31" i="14"/>
  <c r="E248" i="15"/>
  <c r="G235" i="20" l="1"/>
  <c r="J236" i="20"/>
  <c r="K236" i="20"/>
  <c r="I236" i="20"/>
  <c r="AL47" i="18"/>
  <c r="AM48" i="18"/>
  <c r="E29" i="14"/>
  <c r="G30" i="14"/>
  <c r="E247" i="15"/>
  <c r="E246" i="15"/>
  <c r="G234" i="20" l="1"/>
  <c r="I235" i="20"/>
  <c r="J235" i="20"/>
  <c r="K235" i="20"/>
  <c r="AL46" i="18"/>
  <c r="AM47" i="18"/>
  <c r="E28" i="14"/>
  <c r="G29" i="14"/>
  <c r="E245" i="15"/>
  <c r="K234" i="20" l="1"/>
  <c r="I234" i="20"/>
  <c r="G233" i="20"/>
  <c r="J234" i="20"/>
  <c r="AM46" i="18"/>
  <c r="AL45" i="18"/>
  <c r="E27" i="14"/>
  <c r="G28" i="14"/>
  <c r="N15" i="33"/>
  <c r="E244" i="15"/>
  <c r="J233" i="20" l="1"/>
  <c r="K233" i="20"/>
  <c r="G232" i="20"/>
  <c r="I233" i="20"/>
  <c r="AL44" i="18"/>
  <c r="AM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G231" i="20" l="1"/>
  <c r="J232" i="20"/>
  <c r="K232" i="20"/>
  <c r="I232" i="20"/>
  <c r="AL43" i="18"/>
  <c r="AM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G230" i="20" l="1"/>
  <c r="K231" i="20"/>
  <c r="I231" i="20"/>
  <c r="J231" i="20"/>
  <c r="AM43" i="18"/>
  <c r="AL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G229" i="20" l="1"/>
  <c r="K230" i="20"/>
  <c r="I230" i="20"/>
  <c r="J230" i="20"/>
  <c r="AL41" i="18"/>
  <c r="AM42" i="18"/>
  <c r="E23" i="14"/>
  <c r="G24" i="14"/>
  <c r="H25" i="43"/>
  <c r="G2" i="43"/>
  <c r="G25" i="43" s="1"/>
  <c r="G30" i="43" s="1"/>
  <c r="H30" i="43" s="1"/>
  <c r="G228" i="20" l="1"/>
  <c r="J229" i="20"/>
  <c r="K229" i="20"/>
  <c r="I229" i="20"/>
  <c r="AM41" i="18"/>
  <c r="AL40" i="18"/>
  <c r="E22" i="14"/>
  <c r="G23" i="14"/>
  <c r="I2" i="43"/>
  <c r="I25" i="43" s="1"/>
  <c r="I30" i="43" s="1"/>
  <c r="D24" i="43"/>
  <c r="J228" i="20" l="1"/>
  <c r="I228" i="20"/>
  <c r="G227" i="20"/>
  <c r="K228" i="20"/>
  <c r="AL39" i="18"/>
  <c r="AM40" i="18"/>
  <c r="E21" i="14"/>
  <c r="E20" i="14" s="1"/>
  <c r="E19" i="14" s="1"/>
  <c r="E18" i="14" s="1"/>
  <c r="G22" i="14"/>
  <c r="E243" i="15"/>
  <c r="G226" i="20" l="1"/>
  <c r="K227" i="20"/>
  <c r="J227" i="20"/>
  <c r="I227" i="20"/>
  <c r="AM39" i="18"/>
  <c r="AL38" i="18"/>
  <c r="E242" i="15"/>
  <c r="G225" i="20" l="1"/>
  <c r="J226" i="20"/>
  <c r="I226" i="20"/>
  <c r="K226" i="20"/>
  <c r="AL37" i="18"/>
  <c r="AM38" i="18"/>
  <c r="J57" i="33"/>
  <c r="J55" i="33"/>
  <c r="J54" i="33"/>
  <c r="J225" i="20" l="1"/>
  <c r="I225" i="20"/>
  <c r="G224" i="20"/>
  <c r="K225" i="20"/>
  <c r="AL36" i="18"/>
  <c r="AM37" i="18"/>
  <c r="L57" i="33"/>
  <c r="E241" i="15"/>
  <c r="G223" i="20" l="1"/>
  <c r="J224" i="20"/>
  <c r="I224" i="20"/>
  <c r="K224" i="20"/>
  <c r="AM36" i="18"/>
  <c r="AL35" i="18"/>
  <c r="D168" i="20"/>
  <c r="J223" i="20" l="1"/>
  <c r="I223" i="20"/>
  <c r="K223" i="20"/>
  <c r="G222" i="20"/>
  <c r="AL34" i="18"/>
  <c r="AM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K222" i="20" l="1"/>
  <c r="I222" i="20"/>
  <c r="G221" i="20"/>
  <c r="J222" i="20"/>
  <c r="AL33" i="18"/>
  <c r="AM34" i="18"/>
  <c r="D252" i="15"/>
  <c r="F253" i="15"/>
  <c r="J221" i="20" l="1"/>
  <c r="I221" i="20"/>
  <c r="G220" i="20"/>
  <c r="K221" i="20"/>
  <c r="AL32" i="18"/>
  <c r="AM33" i="18"/>
  <c r="D251" i="15"/>
  <c r="F252" i="15"/>
  <c r="G219" i="20" l="1"/>
  <c r="I220" i="20"/>
  <c r="J220" i="20"/>
  <c r="K220" i="20"/>
  <c r="AL31" i="18"/>
  <c r="AM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G218" i="20" l="1"/>
  <c r="K219" i="20"/>
  <c r="I219" i="20"/>
  <c r="J219" i="20"/>
  <c r="AL30" i="18"/>
  <c r="AM31" i="18"/>
  <c r="D249" i="15"/>
  <c r="F250" i="15"/>
  <c r="L60" i="32"/>
  <c r="L48" i="32"/>
  <c r="G217" i="20" l="1"/>
  <c r="I218" i="20"/>
  <c r="K218" i="20"/>
  <c r="J218" i="20"/>
  <c r="AL29" i="18"/>
  <c r="AM30" i="18"/>
  <c r="F249" i="15"/>
  <c r="D248" i="15"/>
  <c r="J217" i="20" l="1"/>
  <c r="I217" i="20"/>
  <c r="K217" i="20"/>
  <c r="G216" i="20"/>
  <c r="AM29" i="18"/>
  <c r="AL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215" i="20" l="1"/>
  <c r="J216" i="20"/>
  <c r="K216" i="20"/>
  <c r="I216" i="20"/>
  <c r="G193" i="13"/>
  <c r="AL27" i="18"/>
  <c r="AM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214" i="20" l="1"/>
  <c r="I215" i="20"/>
  <c r="K215" i="20"/>
  <c r="J215" i="20"/>
  <c r="AL26" i="18"/>
  <c r="AM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G213" i="20" l="1"/>
  <c r="I214" i="20"/>
  <c r="K214" i="20"/>
  <c r="J214" i="20"/>
  <c r="AL25" i="18"/>
  <c r="AM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G212" i="20" l="1"/>
  <c r="J213" i="20"/>
  <c r="K213" i="20"/>
  <c r="I213" i="20"/>
  <c r="AL24" i="18"/>
  <c r="AM25" i="18"/>
  <c r="E178" i="13"/>
  <c r="G179" i="13"/>
  <c r="D243" i="15"/>
  <c r="F244" i="15"/>
  <c r="G211" i="20" l="1"/>
  <c r="I212" i="20"/>
  <c r="J212" i="20"/>
  <c r="K212" i="20"/>
  <c r="AM24" i="18"/>
  <c r="AL23" i="18"/>
  <c r="E177" i="13"/>
  <c r="G178" i="13"/>
  <c r="F243" i="15"/>
  <c r="D242" i="15"/>
  <c r="G210" i="20" l="1"/>
  <c r="K211" i="20"/>
  <c r="J211" i="20"/>
  <c r="I211" i="20"/>
  <c r="AM23" i="18"/>
  <c r="AL22" i="18"/>
  <c r="E176" i="13"/>
  <c r="G177" i="13"/>
  <c r="F242" i="15"/>
  <c r="D241" i="15"/>
  <c r="D165" i="20"/>
  <c r="G209" i="20" l="1"/>
  <c r="K210" i="20"/>
  <c r="I210" i="20"/>
  <c r="J210" i="20"/>
  <c r="AL21" i="18"/>
  <c r="AL20" i="18" s="1"/>
  <c r="AM22" i="18"/>
  <c r="E175" i="13"/>
  <c r="G176" i="13"/>
  <c r="F241" i="15"/>
  <c r="D240" i="15"/>
  <c r="D164" i="20"/>
  <c r="G208" i="20" l="1"/>
  <c r="J209" i="20"/>
  <c r="I209" i="20"/>
  <c r="K209" i="20"/>
  <c r="AM21" i="18"/>
  <c r="AM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G207" i="20" l="1"/>
  <c r="K208" i="20"/>
  <c r="I208" i="20"/>
  <c r="J208" i="20"/>
  <c r="AM102" i="18"/>
  <c r="E173" i="13"/>
  <c r="G174" i="13"/>
  <c r="D238" i="15"/>
  <c r="F239" i="15"/>
  <c r="X720" i="41"/>
  <c r="U2123" i="41"/>
  <c r="G206" i="20" l="1"/>
  <c r="K207" i="20"/>
  <c r="I207" i="20"/>
  <c r="J207" i="20"/>
  <c r="AN102" i="18"/>
  <c r="AJ107" i="18" s="1"/>
  <c r="AJ111" i="18" s="1"/>
  <c r="E172" i="13"/>
  <c r="G173" i="13"/>
  <c r="D237" i="15"/>
  <c r="F238" i="15"/>
  <c r="D62" i="38"/>
  <c r="K206" i="20" l="1"/>
  <c r="G205" i="20"/>
  <c r="J206" i="20"/>
  <c r="I206" i="20"/>
  <c r="AJ110" i="18"/>
  <c r="E171" i="13"/>
  <c r="G172" i="13"/>
  <c r="F237" i="15"/>
  <c r="D236" i="15"/>
  <c r="G204" i="20" l="1"/>
  <c r="I205" i="20"/>
  <c r="K205" i="20"/>
  <c r="J205" i="20"/>
  <c r="E170" i="13"/>
  <c r="G171" i="13"/>
  <c r="D235" i="15"/>
  <c r="F236" i="15"/>
  <c r="K204" i="20" l="1"/>
  <c r="G203" i="20"/>
  <c r="J204" i="20"/>
  <c r="I204" i="20"/>
  <c r="E169" i="13"/>
  <c r="G170" i="13"/>
  <c r="F235" i="15"/>
  <c r="D234" i="15"/>
  <c r="D163" i="20"/>
  <c r="K203" i="20" l="1"/>
  <c r="I203" i="20"/>
  <c r="G202" i="20"/>
  <c r="J203" i="20"/>
  <c r="E168" i="13"/>
  <c r="G169" i="13"/>
  <c r="F234" i="15"/>
  <c r="D233" i="15"/>
  <c r="J202" i="20" l="1"/>
  <c r="I202" i="20"/>
  <c r="G201" i="20"/>
  <c r="K202" i="20"/>
  <c r="E167" i="13"/>
  <c r="G168" i="13"/>
  <c r="D232" i="15"/>
  <c r="F233" i="15"/>
  <c r="D162" i="20"/>
  <c r="I201" i="20" l="1"/>
  <c r="J201" i="20"/>
  <c r="G200" i="20"/>
  <c r="K201" i="20"/>
  <c r="E166" i="13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199" i="20" l="1"/>
  <c r="J200" i="20"/>
  <c r="I200" i="20"/>
  <c r="K200" i="20"/>
  <c r="G72" i="16"/>
  <c r="E165" i="13"/>
  <c r="G166" i="13"/>
  <c r="F231" i="15"/>
  <c r="D230" i="15"/>
  <c r="G71" i="16"/>
  <c r="G70" i="16"/>
  <c r="G69" i="16"/>
  <c r="D160" i="20"/>
  <c r="G198" i="20" l="1"/>
  <c r="K199" i="20"/>
  <c r="J199" i="20"/>
  <c r="I199" i="20"/>
  <c r="E164" i="13"/>
  <c r="G165" i="13"/>
  <c r="F230" i="15"/>
  <c r="D229" i="15"/>
  <c r="D159" i="20"/>
  <c r="G197" i="20" l="1"/>
  <c r="K198" i="20"/>
  <c r="J198" i="20"/>
  <c r="I198" i="20"/>
  <c r="E163" i="13"/>
  <c r="G164" i="13"/>
  <c r="F229" i="15"/>
  <c r="D228" i="15"/>
  <c r="D158" i="20"/>
  <c r="D157" i="20"/>
  <c r="K197" i="20" l="1"/>
  <c r="J197" i="20"/>
  <c r="G196" i="20"/>
  <c r="I197" i="20"/>
  <c r="E162" i="13"/>
  <c r="G163" i="13"/>
  <c r="F228" i="15"/>
  <c r="D227" i="15"/>
  <c r="D156" i="20"/>
  <c r="G195" i="20" l="1"/>
  <c r="J196" i="20"/>
  <c r="K196" i="20"/>
  <c r="I196" i="20"/>
  <c r="E161" i="13"/>
  <c r="G162" i="13"/>
  <c r="F227" i="15"/>
  <c r="D226" i="15"/>
  <c r="D155" i="20"/>
  <c r="J195" i="20" l="1"/>
  <c r="I195" i="20"/>
  <c r="G194" i="20"/>
  <c r="K195" i="20"/>
  <c r="E160" i="13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G193" i="20" l="1"/>
  <c r="K194" i="20"/>
  <c r="I194" i="20"/>
  <c r="J194" i="20"/>
  <c r="E159" i="13"/>
  <c r="G160" i="13"/>
  <c r="G192" i="20" l="1"/>
  <c r="K193" i="20"/>
  <c r="I193" i="20"/>
  <c r="J193" i="20"/>
  <c r="E158" i="13"/>
  <c r="G159" i="13"/>
  <c r="D154" i="20"/>
  <c r="D153" i="20"/>
  <c r="G191" i="20" l="1"/>
  <c r="K192" i="20"/>
  <c r="I192" i="20"/>
  <c r="J192" i="20"/>
  <c r="E157" i="13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G190" i="20" l="1"/>
  <c r="K191" i="20"/>
  <c r="I191" i="20"/>
  <c r="J191" i="20"/>
  <c r="E156" i="13"/>
  <c r="G157" i="13"/>
  <c r="G189" i="20" l="1"/>
  <c r="J190" i="20"/>
  <c r="I190" i="20"/>
  <c r="K190" i="20"/>
  <c r="E155" i="13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32" i="10"/>
  <c r="G188" i="20" l="1"/>
  <c r="J189" i="20"/>
  <c r="K189" i="20"/>
  <c r="I189" i="20"/>
  <c r="E154" i="13"/>
  <c r="G155" i="13"/>
  <c r="I46" i="32"/>
  <c r="G187" i="20" l="1"/>
  <c r="J188" i="20"/>
  <c r="I188" i="20"/>
  <c r="K188" i="20"/>
  <c r="E153" i="13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G186" i="20" l="1"/>
  <c r="K187" i="20"/>
  <c r="J187" i="20"/>
  <c r="I187" i="20"/>
  <c r="E152" i="13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G185" i="20" l="1"/>
  <c r="K186" i="20"/>
  <c r="J186" i="20"/>
  <c r="I186" i="20"/>
  <c r="E151" i="13"/>
  <c r="G152" i="13"/>
  <c r="G184" i="20" l="1"/>
  <c r="J185" i="20"/>
  <c r="I185" i="20"/>
  <c r="K185" i="20"/>
  <c r="E150" i="13"/>
  <c r="G151" i="13"/>
  <c r="I184" i="20" l="1"/>
  <c r="K184" i="20"/>
  <c r="J184" i="20"/>
  <c r="G183" i="20"/>
  <c r="E149" i="13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I183" i="20" l="1"/>
  <c r="K183" i="20"/>
  <c r="G182" i="20"/>
  <c r="J183" i="20"/>
  <c r="E148" i="13"/>
  <c r="G149" i="13"/>
  <c r="K182" i="20" l="1"/>
  <c r="G181" i="20"/>
  <c r="J182" i="20"/>
  <c r="I182" i="20"/>
  <c r="E147" i="13"/>
  <c r="G148" i="13"/>
  <c r="G180" i="20" l="1"/>
  <c r="J181" i="20"/>
  <c r="K181" i="20"/>
  <c r="I181" i="20"/>
  <c r="E146" i="13"/>
  <c r="G147" i="13"/>
  <c r="K47" i="32"/>
  <c r="U47" i="32" s="1"/>
  <c r="U46" i="32"/>
  <c r="K180" i="20" l="1"/>
  <c r="G179" i="20"/>
  <c r="J180" i="20"/>
  <c r="I180" i="20"/>
  <c r="E145" i="13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I179" i="20" l="1"/>
  <c r="G178" i="20"/>
  <c r="K179" i="20"/>
  <c r="J179" i="20"/>
  <c r="E144" i="13"/>
  <c r="G145" i="13"/>
  <c r="AD15" i="32"/>
  <c r="AB15" i="32"/>
  <c r="Z34" i="32"/>
  <c r="G45" i="10"/>
  <c r="D42" i="34"/>
  <c r="G177" i="20" l="1"/>
  <c r="J178" i="20"/>
  <c r="K178" i="20"/>
  <c r="I178" i="20"/>
  <c r="E143" i="13"/>
  <c r="G144" i="13"/>
  <c r="AC16" i="32"/>
  <c r="AD16" i="32"/>
  <c r="AB16" i="32"/>
  <c r="G176" i="20" l="1"/>
  <c r="J177" i="20"/>
  <c r="I177" i="20"/>
  <c r="K177" i="20"/>
  <c r="E142" i="13"/>
  <c r="G143" i="13"/>
  <c r="J176" i="20" l="1"/>
  <c r="I176" i="20"/>
  <c r="G175" i="20"/>
  <c r="K176" i="20"/>
  <c r="E141" i="13"/>
  <c r="G142" i="13"/>
  <c r="U8" i="32"/>
  <c r="K175" i="20" l="1"/>
  <c r="I175" i="20"/>
  <c r="G174" i="20"/>
  <c r="J175" i="20"/>
  <c r="E140" i="13"/>
  <c r="G141" i="13"/>
  <c r="J174" i="20" l="1"/>
  <c r="G173" i="20"/>
  <c r="I174" i="20"/>
  <c r="E139" i="13"/>
  <c r="G140" i="13"/>
  <c r="N34" i="33"/>
  <c r="G172" i="20" l="1"/>
  <c r="K173" i="20"/>
  <c r="J173" i="20"/>
  <c r="I173" i="20"/>
  <c r="B34" i="33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G171" i="20" l="1"/>
  <c r="K172" i="20"/>
  <c r="J172" i="20"/>
  <c r="I172" i="20"/>
  <c r="E137" i="13"/>
  <c r="G138" i="13"/>
  <c r="Q43" i="32"/>
  <c r="G170" i="20" l="1"/>
  <c r="J171" i="20"/>
  <c r="I171" i="20"/>
  <c r="K171" i="20"/>
  <c r="E136" i="13"/>
  <c r="G137" i="13"/>
  <c r="I42" i="32"/>
  <c r="K41" i="32"/>
  <c r="M41" i="32"/>
  <c r="M29" i="32"/>
  <c r="R29" i="32" s="1"/>
  <c r="K29" i="32"/>
  <c r="G169" i="20" l="1"/>
  <c r="I170" i="20"/>
  <c r="K170" i="20"/>
  <c r="J170" i="20"/>
  <c r="E135" i="13"/>
  <c r="G136" i="13"/>
  <c r="Q29" i="32"/>
  <c r="I169" i="20" l="1"/>
  <c r="J169" i="20"/>
  <c r="G168" i="20"/>
  <c r="K169" i="20"/>
  <c r="E134" i="13"/>
  <c r="G135" i="13"/>
  <c r="U29" i="32"/>
  <c r="U62" i="32"/>
  <c r="U63" i="32"/>
  <c r="U64" i="32"/>
  <c r="U65" i="32"/>
  <c r="U66" i="32"/>
  <c r="U67" i="32"/>
  <c r="U68" i="32"/>
  <c r="AC28" i="33"/>
  <c r="G167" i="20" l="1"/>
  <c r="J168" i="20"/>
  <c r="I168" i="20"/>
  <c r="K168" i="20"/>
  <c r="E133" i="13"/>
  <c r="G134" i="13"/>
  <c r="AE24" i="33"/>
  <c r="G166" i="20" l="1"/>
  <c r="I167" i="20"/>
  <c r="J167" i="20"/>
  <c r="K167" i="20"/>
  <c r="E132" i="13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K166" i="20" l="1"/>
  <c r="I166" i="20"/>
  <c r="G165" i="20"/>
  <c r="J166" i="20"/>
  <c r="E131" i="13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G164" i="20" l="1"/>
  <c r="K165" i="20"/>
  <c r="J165" i="20"/>
  <c r="I165" i="20"/>
  <c r="B30" i="33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G95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K174" i="20" s="1"/>
  <c r="G163" i="20" l="1"/>
  <c r="I164" i="20"/>
  <c r="J164" i="20"/>
  <c r="K164" i="20"/>
  <c r="E129" i="13"/>
  <c r="G130" i="13"/>
  <c r="H25" i="34"/>
  <c r="I2" i="34"/>
  <c r="I25" i="34" s="1"/>
  <c r="D24" i="34"/>
  <c r="B24" i="34"/>
  <c r="B2" i="38" s="1"/>
  <c r="C24" i="34"/>
  <c r="C2" i="38" s="1"/>
  <c r="G2" i="34"/>
  <c r="G25" i="34" s="1"/>
  <c r="G162" i="20" l="1"/>
  <c r="J163" i="20"/>
  <c r="K163" i="20"/>
  <c r="I163" i="20"/>
  <c r="E128" i="13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G161" i="20" l="1"/>
  <c r="K162" i="20"/>
  <c r="J162" i="20"/>
  <c r="I162" i="20"/>
  <c r="E127" i="13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G160" i="20" l="1"/>
  <c r="K161" i="20"/>
  <c r="I161" i="20"/>
  <c r="J161" i="20"/>
  <c r="E126" i="13"/>
  <c r="G127" i="13"/>
  <c r="H30" i="42"/>
  <c r="I2" i="42"/>
  <c r="I25" i="42" s="1"/>
  <c r="I30" i="42" s="1"/>
  <c r="D24" i="42"/>
  <c r="K28" i="32"/>
  <c r="K160" i="20" l="1"/>
  <c r="I160" i="20"/>
  <c r="G159" i="20"/>
  <c r="J160" i="20"/>
  <c r="E125" i="13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J159" i="20" l="1"/>
  <c r="K159" i="20"/>
  <c r="I159" i="20"/>
  <c r="G158" i="20"/>
  <c r="E124" i="13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G157" i="20" l="1"/>
  <c r="K158" i="20"/>
  <c r="I158" i="20"/>
  <c r="J158" i="20"/>
  <c r="E123" i="13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56" i="20" l="1"/>
  <c r="I157" i="20"/>
  <c r="J157" i="20"/>
  <c r="K157" i="20"/>
  <c r="G123" i="13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K156" i="20" l="1"/>
  <c r="G155" i="20"/>
  <c r="I156" i="20"/>
  <c r="J156" i="20"/>
  <c r="G102" i="13"/>
  <c r="G196" i="13"/>
  <c r="G199" i="13" s="1"/>
  <c r="G103" i="13"/>
  <c r="U14" i="32"/>
  <c r="L14" i="32" s="1"/>
  <c r="Q9" i="32"/>
  <c r="R9" i="32"/>
  <c r="Y5" i="33"/>
  <c r="G154" i="20" l="1"/>
  <c r="K155" i="20"/>
  <c r="I155" i="20"/>
  <c r="J155" i="20"/>
  <c r="Y44" i="33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I154" i="20" l="1"/>
  <c r="G153" i="20"/>
  <c r="J154" i="20"/>
  <c r="K154" i="20"/>
  <c r="L8" i="32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K153" i="20" l="1"/>
  <c r="I153" i="20"/>
  <c r="G152" i="20"/>
  <c r="J153" i="20"/>
  <c r="AA7" i="33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G151" i="20" l="1"/>
  <c r="I152" i="20"/>
  <c r="J152" i="20"/>
  <c r="K152" i="20"/>
  <c r="D194" i="15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I151" i="20" l="1"/>
  <c r="J151" i="20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F192" i="15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E10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1" i="18" s="1"/>
  <c r="D277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2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E10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s="1"/>
  <c r="L62" i="18" l="1"/>
  <c r="F22" i="18"/>
  <c r="E33" i="13"/>
  <c r="G34" i="13"/>
  <c r="I97" i="20"/>
  <c r="K97" i="20"/>
  <c r="J97" i="20"/>
  <c r="F108" i="15"/>
  <c r="C20" i="18"/>
  <c r="G20" i="14"/>
  <c r="G21" i="14"/>
  <c r="L63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70" i="20" s="1"/>
  <c r="J2" i="20"/>
  <c r="J270" i="20" s="1"/>
  <c r="I2" i="20"/>
  <c r="I270" i="20" s="1"/>
  <c r="F13" i="15"/>
  <c r="I273" i="20" l="1"/>
  <c r="J273" i="20"/>
  <c r="K273" i="20"/>
  <c r="F12" i="15"/>
  <c r="J277" i="20" l="1"/>
  <c r="K277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U100" i="18" l="1"/>
  <c r="V100" i="18" s="1"/>
  <c r="U102" i="18"/>
  <c r="V102" i="18" s="1"/>
</calcChain>
</file>

<file path=xl/sharedStrings.xml><?xml version="1.0" encoding="utf-8"?>
<sst xmlns="http://schemas.openxmlformats.org/spreadsheetml/2006/main" count="9971" uniqueCount="4625">
  <si>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</si>
  <si>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</si>
  <si>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</si>
  <si>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</si>
  <si>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</si>
  <si>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</si>
  <si>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</si>
  <si>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</si>
  <si>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</si>
  <si>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</si>
  <si>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</si>
  <si>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</si>
  <si>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</si>
  <si>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</si>
  <si>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</si>
  <si>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</si>
  <si>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</si>
  <si>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</si>
  <si>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</si>
  <si>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</si>
  <si>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</si>
  <si>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</si>
  <si>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</si>
  <si>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</si>
  <si>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</si>
  <si>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</si>
  <si>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</si>
  <si>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</si>
  <si>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</si>
  <si>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</si>
  <si>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</si>
  <si>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</si>
  <si>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</si>
  <si>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</si>
  <si>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</si>
  <si>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</si>
  <si>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</si>
  <si>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</si>
  <si>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</si>
  <si>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</si>
  <si>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</si>
  <si>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</si>
  <si>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</si>
  <si>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</si>
  <si>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</si>
  <si>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</si>
  <si>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</si>
  <si>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</si>
  <si>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</si>
  <si>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</si>
  <si>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</si>
  <si>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</si>
  <si>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</si>
  <si>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</si>
  <si>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</si>
  <si>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</si>
  <si>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</si>
  <si>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</si>
  <si>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</si>
  <si>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</si>
  <si>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</si>
  <si>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</si>
  <si>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</si>
  <si>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</si>
  <si>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</si>
  <si>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</si>
  <si>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</si>
  <si>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</si>
  <si>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</si>
  <si>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</si>
  <si>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</si>
  <si>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</si>
  <si>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</si>
  <si>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</si>
  <si>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</si>
  <si>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</si>
  <si>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</si>
  <si>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</si>
  <si>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</si>
  <si>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</si>
  <si>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</si>
  <si>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</si>
  <si>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</si>
  <si>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</si>
  <si>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</si>
  <si>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</si>
  <si>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</si>
  <si>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</si>
  <si>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</si>
  <si>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</si>
  <si>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</si>
  <si>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</si>
  <si>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</si>
  <si>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</si>
  <si>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</si>
  <si>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</si>
  <si>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</si>
  <si>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</si>
  <si>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</si>
  <si>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</si>
  <si>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</si>
  <si>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</si>
  <si>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</si>
  <si>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</si>
  <si>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</si>
  <si>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</si>
  <si>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</si>
  <si>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</si>
  <si>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</si>
  <si>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</si>
  <si>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</si>
  <si>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</si>
  <si>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</si>
  <si>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</si>
  <si>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</si>
  <si>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</si>
  <si>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</si>
  <si>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</si>
  <si>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</si>
  <si>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</si>
  <si>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</si>
  <si>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</si>
  <si>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</si>
  <si>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</si>
  <si>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</si>
  <si>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</si>
  <si>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</si>
  <si>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</si>
  <si>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</si>
  <si>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</si>
  <si>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</si>
  <si>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</si>
  <si>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</si>
  <si>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</si>
  <si>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</si>
  <si>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</si>
  <si>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</si>
  <si>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</si>
  <si>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</si>
  <si>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</si>
  <si>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</si>
  <si>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</si>
  <si>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</si>
  <si>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</si>
  <si>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</si>
  <si>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</si>
  <si>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</si>
  <si>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</si>
  <si>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</si>
  <si>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</si>
  <si>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</si>
  <si>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</si>
  <si>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</si>
  <si>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</si>
  <si>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</si>
  <si>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</si>
  <si>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</si>
  <si>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</si>
  <si>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</si>
  <si>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</si>
  <si>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</si>
  <si>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</si>
  <si>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</si>
  <si>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</si>
  <si>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</si>
  <si>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</si>
  <si>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</si>
  <si>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</si>
  <si>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</si>
  <si>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</si>
  <si>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</si>
  <si>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</si>
  <si>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</si>
  <si>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</si>
  <si>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</si>
  <si>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</si>
  <si>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</si>
  <si>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</si>
  <si>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</si>
  <si>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</si>
  <si>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</si>
  <si>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</si>
  <si>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</si>
  <si>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</si>
  <si>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</si>
  <si>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</si>
  <si>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</si>
  <si>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</si>
  <si>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</si>
  <si>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</si>
  <si>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</si>
  <si>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</si>
  <si>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</si>
  <si>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</si>
  <si>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</si>
  <si>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</si>
  <si>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</si>
  <si>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</si>
  <si>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</si>
  <si>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</si>
  <si>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</si>
  <si>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</si>
  <si>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</si>
  <si>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</si>
  <si>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</si>
  <si>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</si>
  <si>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</si>
  <si>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</si>
  <si>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</si>
  <si>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</si>
  <si>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</si>
  <si>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</si>
  <si>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</si>
  <si>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</si>
  <si>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</si>
  <si>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</si>
  <si>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</si>
  <si>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</si>
  <si>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</si>
  <si>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</si>
  <si>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</si>
  <si>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</si>
  <si>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</si>
  <si>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</si>
  <si>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</si>
  <si>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</si>
  <si>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</si>
  <si>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</si>
  <si>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</si>
  <si>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</si>
  <si>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</si>
  <si>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</si>
  <si>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</si>
  <si>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</si>
  <si>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</si>
  <si>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</si>
  <si>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</si>
  <si>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</si>
  <si>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</si>
  <si>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</si>
  <si>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</si>
  <si>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</si>
  <si>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</si>
  <si>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</si>
  <si>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</si>
  <si>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</si>
  <si>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</si>
  <si>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</si>
  <si>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</si>
  <si>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</si>
  <si>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</si>
  <si>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</si>
  <si>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</si>
  <si>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</si>
  <si>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</si>
  <si>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</si>
  <si>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</si>
  <si>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</si>
  <si>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</si>
  <si>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</si>
  <si>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</si>
  <si>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</si>
  <si>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</si>
  <si>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</si>
  <si>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</si>
  <si>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</si>
  <si>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</si>
  <si>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</si>
  <si>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</si>
  <si>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</si>
  <si>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</si>
  <si>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</si>
  <si>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</si>
  <si>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</si>
  <si>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</si>
  <si>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</si>
  <si>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</si>
  <si>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</si>
  <si>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</si>
  <si>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</si>
  <si>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</si>
  <si>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</si>
  <si>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</si>
  <si>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</si>
  <si>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</si>
  <si>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</si>
  <si>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</si>
  <si>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</si>
  <si>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</si>
  <si>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</si>
  <si>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</si>
  <si>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</si>
  <si>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</si>
  <si>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</si>
  <si>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</si>
  <si>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</si>
  <si>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</si>
  <si>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</si>
  <si>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</si>
  <si>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</si>
  <si>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</si>
  <si>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</si>
  <si>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</si>
  <si>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</si>
  <si>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</si>
  <si>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</si>
  <si>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</si>
  <si>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</si>
  <si>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</si>
  <si>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</si>
  <si>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</si>
  <si>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</si>
  <si>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</si>
  <si>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</si>
  <si>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</si>
  <si>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</si>
  <si>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</si>
  <si>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</si>
  <si>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</si>
  <si>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</si>
  <si>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</si>
  <si>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</si>
  <si>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</si>
  <si>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</si>
  <si>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</si>
  <si>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</si>
  <si>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</si>
  <si>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</si>
  <si>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</si>
  <si>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</si>
  <si>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</si>
  <si>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</si>
  <si>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</si>
  <si>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</si>
  <si>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</si>
  <si>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</si>
  <si>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</si>
  <si>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</si>
  <si>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</si>
  <si>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</si>
  <si>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</si>
  <si>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</si>
  <si>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</si>
  <si>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</si>
  <si>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</si>
  <si>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</si>
  <si>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</si>
  <si>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</si>
  <si>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</si>
  <si>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</si>
  <si>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</si>
  <si>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</si>
  <si>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</si>
  <si>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</si>
  <si>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</si>
  <si>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</si>
  <si>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</si>
  <si>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</si>
  <si>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</si>
  <si>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</si>
  <si>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</si>
  <si>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</si>
  <si>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</si>
  <si>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</si>
  <si>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</si>
  <si>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</si>
  <si>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</si>
  <si>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</si>
  <si>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</si>
  <si>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</si>
  <si>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</si>
  <si>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</si>
  <si>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</si>
  <si>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</si>
  <si>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</si>
  <si>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</si>
  <si>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</si>
  <si>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</si>
  <si>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</si>
  <si>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</si>
  <si>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</si>
  <si>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</si>
  <si>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</si>
  <si>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</si>
  <si>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</si>
  <si>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</si>
  <si>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</si>
  <si>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</si>
  <si>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</si>
  <si>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</si>
  <si>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</si>
  <si>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</si>
  <si>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</si>
  <si>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</si>
  <si>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</si>
  <si>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</si>
  <si>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</si>
  <si>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</si>
  <si>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</si>
  <si>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</si>
  <si>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</si>
  <si>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</si>
  <si>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</si>
  <si>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</si>
  <si>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</si>
  <si>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</si>
  <si>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</si>
  <si>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</si>
  <si>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</si>
  <si>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</si>
  <si>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</si>
  <si>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</si>
  <si>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</si>
  <si>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</si>
  <si>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</si>
  <si>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</si>
  <si>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</si>
  <si>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</si>
  <si>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</si>
  <si>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</si>
  <si>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</si>
  <si>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</si>
  <si>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</si>
  <si>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</si>
  <si>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</si>
  <si>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</si>
  <si>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</si>
  <si>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</si>
  <si>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</si>
  <si>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</si>
  <si>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</si>
  <si>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</si>
  <si>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</si>
  <si>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</si>
  <si>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</si>
  <si>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</si>
  <si>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</si>
  <si>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</si>
  <si>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</si>
  <si>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</si>
  <si>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</si>
  <si>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</si>
  <si>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</si>
  <si>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</si>
  <si>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</si>
  <si>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</si>
  <si>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</si>
  <si>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</si>
  <si>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</si>
  <si>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</si>
  <si>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</si>
  <si>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</si>
  <si>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</si>
  <si>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</si>
  <si>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</si>
  <si>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</si>
  <si>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</si>
  <si>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</si>
  <si>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</si>
  <si>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</si>
  <si>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</si>
  <si>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</si>
  <si>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</si>
  <si>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</si>
  <si>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</si>
  <si>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</si>
  <si>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</si>
  <si>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</si>
  <si>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</si>
  <si>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</si>
  <si>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</si>
  <si>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</si>
  <si>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</si>
  <si>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</si>
  <si>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</si>
  <si>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</si>
  <si>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</si>
  <si>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</si>
  <si>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</si>
  <si>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</si>
  <si>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</si>
  <si>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</si>
  <si>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</si>
  <si>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</si>
  <si>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</si>
  <si>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</si>
  <si>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</si>
  <si>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</si>
  <si>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</si>
  <si>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</si>
  <si>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</si>
  <si>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</si>
  <si>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</si>
  <si>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</si>
  <si>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</si>
  <si>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</si>
  <si>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</si>
  <si>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</si>
  <si>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</si>
  <si>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</si>
  <si>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</si>
  <si>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</si>
  <si>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</si>
  <si>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</si>
  <si>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</si>
  <si>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</si>
  <si>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</si>
  <si>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</si>
  <si>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</si>
  <si>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</si>
  <si>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</si>
  <si>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</si>
  <si>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</si>
  <si>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</si>
  <si>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</si>
  <si>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</si>
  <si>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</si>
  <si>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</si>
  <si>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</si>
  <si>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</si>
  <si>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</si>
  <si>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</si>
  <si>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</si>
  <si>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</si>
  <si>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</si>
  <si>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</si>
  <si>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</si>
  <si>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</si>
  <si>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</si>
  <si>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</si>
  <si>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</si>
  <si>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</si>
  <si>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</si>
  <si>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</si>
  <si>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</si>
  <si>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</si>
  <si>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</si>
  <si>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</si>
  <si>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</si>
  <si>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</si>
  <si>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</si>
  <si>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</si>
  <si>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</si>
  <si>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</si>
  <si>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</si>
  <si>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</si>
  <si>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</si>
  <si>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</si>
  <si>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</si>
  <si>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</si>
  <si>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</si>
  <si>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</si>
  <si>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</si>
  <si>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</si>
  <si>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</si>
  <si>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</si>
  <si>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</si>
  <si>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</si>
  <si>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</si>
  <si>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</si>
  <si>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</si>
  <si>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</si>
  <si>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</si>
  <si>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</si>
  <si>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</si>
  <si>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</si>
  <si>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</si>
  <si>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</si>
  <si>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</si>
  <si>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</si>
  <si>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</si>
  <si>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</si>
  <si>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</si>
  <si>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</si>
  <si>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</si>
  <si>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</si>
  <si>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</si>
  <si>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</si>
  <si>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</si>
  <si>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</si>
  <si>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</si>
  <si>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</si>
  <si>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</si>
  <si>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</si>
  <si>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</si>
  <si>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</si>
  <si>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</si>
  <si>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</si>
  <si>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</si>
  <si>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</si>
  <si>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</si>
  <si>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</si>
  <si>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</si>
  <si>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</si>
  <si>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</si>
  <si>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</si>
  <si>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</si>
  <si>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</si>
  <si>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</si>
  <si>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</si>
  <si>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</si>
  <si>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</si>
  <si>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</si>
  <si>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</si>
  <si>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</si>
  <si>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</si>
  <si>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</si>
  <si>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</si>
  <si>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</si>
  <si>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</si>
  <si>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</si>
  <si>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</si>
  <si>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</si>
  <si>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</si>
  <si>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</si>
  <si>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</si>
  <si>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</si>
  <si>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</si>
  <si>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</si>
  <si>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</si>
  <si>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</si>
  <si>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</si>
  <si>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</si>
  <si>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</si>
  <si>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</si>
  <si>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</si>
  <si>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</si>
  <si>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</si>
  <si>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</si>
  <si>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</si>
  <si>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</si>
  <si>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</si>
  <si>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</si>
  <si>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</si>
  <si>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</si>
  <si>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</si>
  <si>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</si>
  <si>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</si>
  <si>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</si>
  <si>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</si>
  <si>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</si>
  <si>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</si>
  <si>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</si>
  <si>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</si>
  <si>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</si>
  <si>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</si>
  <si>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</si>
  <si>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</si>
  <si>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</si>
  <si>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</si>
  <si>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</si>
  <si>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</si>
  <si>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</si>
  <si>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</si>
  <si>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</si>
  <si>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</si>
  <si>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</si>
  <si>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</si>
  <si>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</si>
  <si>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</si>
  <si>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</si>
  <si>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</si>
  <si>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</si>
  <si>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</si>
  <si>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</si>
  <si>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</si>
  <si>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</si>
  <si>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</si>
  <si>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</si>
  <si>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</si>
  <si>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</si>
  <si>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</si>
  <si>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</si>
  <si>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</si>
  <si>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</si>
  <si>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</si>
  <si>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</si>
  <si>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</si>
  <si>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</si>
  <si>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</si>
  <si>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</si>
  <si>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</si>
  <si>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</si>
  <si>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</si>
  <si>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</si>
  <si>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</si>
  <si>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</si>
  <si>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</si>
  <si>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</si>
  <si>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</si>
  <si>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</si>
  <si>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</si>
  <si>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</si>
  <si>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</si>
  <si>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</si>
  <si>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</si>
  <si>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</si>
  <si>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</si>
  <si>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</si>
  <si>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</si>
  <si>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</si>
  <si>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</si>
  <si>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</si>
  <si>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</si>
  <si>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</si>
  <si>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</si>
  <si>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</si>
  <si>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</si>
  <si>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</si>
  <si>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</si>
  <si>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</si>
  <si>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</si>
  <si>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</si>
  <si>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</si>
  <si>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</si>
  <si>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</si>
  <si>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</si>
  <si>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</si>
  <si>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</si>
  <si>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</si>
  <si>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</si>
  <si>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</si>
  <si>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</si>
  <si>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</si>
  <si>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</si>
  <si>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</si>
  <si>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</si>
  <si>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</si>
  <si>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</si>
  <si>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</si>
  <si>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</si>
  <si>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</si>
  <si>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</si>
  <si>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</si>
  <si>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</si>
  <si>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</si>
  <si>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</si>
  <si>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</si>
  <si>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</si>
  <si>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</si>
  <si>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</si>
  <si>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</si>
  <si>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</si>
  <si>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</si>
  <si>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</si>
  <si>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</si>
  <si>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</si>
  <si>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</si>
  <si>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</si>
  <si>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</si>
  <si>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</si>
  <si>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</si>
  <si>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</si>
  <si>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</si>
  <si>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</si>
  <si>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</si>
  <si>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</si>
  <si>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</si>
  <si>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</si>
  <si>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</si>
  <si>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</si>
  <si>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</si>
  <si>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</si>
  <si>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</si>
  <si>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</si>
  <si>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</si>
  <si>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</si>
  <si>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</si>
  <si>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</si>
  <si>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</si>
  <si>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</si>
  <si>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</si>
  <si>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</si>
  <si>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</si>
  <si>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</si>
  <si>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</si>
  <si>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</si>
  <si>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</si>
  <si>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</si>
  <si>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</si>
  <si>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</si>
  <si>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</si>
  <si>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</si>
  <si>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</si>
  <si>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</si>
  <si>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</si>
  <si>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</si>
  <si>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</si>
  <si>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</si>
  <si>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</si>
  <si>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</si>
  <si>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</si>
  <si>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</si>
  <si>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</si>
  <si>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</si>
  <si>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</si>
  <si>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</si>
  <si>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</si>
  <si>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</si>
  <si>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</si>
  <si>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</si>
  <si>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</si>
  <si>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</si>
  <si>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</si>
  <si>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</si>
  <si>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</si>
  <si>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</si>
  <si>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</si>
  <si>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</si>
  <si>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</si>
  <si>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</si>
  <si>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</si>
  <si>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</si>
  <si>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</si>
  <si>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</si>
  <si>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</si>
  <si>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</si>
  <si>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</si>
  <si>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</si>
  <si>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</si>
  <si>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</si>
  <si>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</si>
  <si>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</si>
  <si>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</si>
  <si>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</si>
  <si>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</si>
  <si>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</si>
  <si>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</si>
  <si>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</si>
  <si>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</si>
  <si>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</si>
  <si>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</si>
  <si>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</si>
  <si>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</si>
  <si>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</si>
  <si>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</si>
  <si>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</si>
  <si>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</si>
  <si>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</si>
  <si>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</si>
  <si>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</si>
  <si>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</si>
  <si>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</si>
  <si>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</si>
  <si>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</si>
  <si>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</si>
  <si>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</si>
  <si>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</si>
  <si>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</si>
  <si>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</si>
  <si>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</si>
  <si>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</si>
  <si>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</si>
  <si>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</si>
  <si>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</si>
  <si>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</si>
  <si>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</si>
  <si>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</si>
  <si>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</si>
  <si>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</si>
  <si>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</si>
  <si>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</si>
  <si>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</si>
  <si>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</si>
  <si>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</si>
  <si>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</si>
  <si>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</si>
  <si>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</si>
  <si>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</si>
  <si>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</si>
  <si>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</si>
  <si>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</si>
  <si>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</si>
  <si>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</si>
  <si>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</si>
  <si>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</si>
  <si>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</si>
  <si>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</si>
  <si>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</si>
  <si>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</si>
  <si>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</si>
  <si>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</si>
  <si>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</si>
  <si>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</si>
  <si>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</si>
  <si>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</si>
  <si>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</si>
  <si>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</si>
  <si>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</si>
  <si>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</si>
  <si>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</si>
  <si>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</si>
  <si>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</si>
  <si>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</si>
  <si>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</si>
  <si>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</si>
  <si>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</si>
  <si>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</si>
  <si>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</si>
  <si>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</si>
  <si>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</si>
  <si>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</si>
  <si>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</si>
  <si>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</si>
  <si>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</si>
  <si>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</si>
  <si>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</si>
  <si>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</si>
  <si>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</si>
  <si>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</si>
  <si>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</si>
  <si>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</si>
  <si>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</si>
  <si>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</si>
  <si>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</si>
  <si>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</si>
  <si>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</si>
  <si>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</si>
  <si>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</si>
  <si>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</si>
  <si>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</si>
  <si>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</si>
  <si>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</si>
  <si>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</si>
  <si>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</si>
  <si>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</si>
  <si>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</si>
  <si>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</si>
  <si>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</si>
  <si>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</si>
  <si>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</si>
  <si>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</si>
  <si>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</si>
  <si>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</si>
  <si>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</si>
  <si>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</si>
  <si>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</si>
  <si>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</si>
  <si>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</si>
  <si>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</si>
  <si>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</si>
  <si>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</si>
  <si>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</si>
  <si>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</si>
  <si>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</si>
  <si>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</si>
  <si>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</si>
  <si>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</si>
  <si>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</si>
  <si>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</si>
  <si>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</si>
  <si>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</si>
  <si>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</si>
  <si>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</si>
  <si>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</si>
  <si>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</si>
  <si>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</si>
  <si>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</si>
  <si>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</si>
  <si>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</si>
  <si>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</si>
  <si>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</si>
  <si>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</si>
  <si>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</si>
  <si>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</si>
  <si>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</si>
  <si>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</si>
  <si>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</si>
  <si>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</si>
  <si>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</si>
  <si>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</si>
  <si>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</si>
  <si>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</si>
  <si>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</si>
  <si>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</si>
  <si>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</si>
  <si>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</si>
  <si>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</si>
  <si>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</si>
  <si>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</si>
  <si>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</si>
  <si>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</si>
  <si>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</si>
  <si>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</si>
  <si>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</si>
  <si>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</si>
  <si>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</si>
  <si>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</si>
  <si>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</si>
  <si>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</si>
  <si>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</si>
  <si>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</si>
  <si>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</si>
  <si>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</si>
  <si>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</si>
  <si>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</si>
  <si>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</si>
  <si>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</si>
  <si>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</si>
  <si>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</si>
  <si>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</si>
  <si>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</si>
  <si>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</si>
  <si>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</si>
  <si>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</si>
  <si>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</si>
  <si>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</si>
  <si>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</si>
  <si>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</si>
  <si>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</si>
  <si>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</si>
  <si>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</si>
  <si>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</si>
  <si>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</si>
  <si>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</si>
  <si>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</si>
  <si>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</si>
  <si>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</si>
  <si>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</si>
  <si>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</si>
  <si>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</si>
  <si>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</si>
  <si>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</si>
  <si>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</si>
  <si>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</si>
  <si>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</si>
  <si>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</si>
  <si>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</si>
  <si>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</si>
  <si>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</si>
  <si>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</si>
  <si>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</si>
  <si>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</si>
  <si>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</si>
  <si>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</si>
  <si>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</si>
  <si>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</si>
  <si>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</si>
  <si>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</si>
  <si>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</si>
  <si>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</si>
  <si>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</si>
  <si>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</si>
  <si>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</si>
  <si>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</si>
  <si>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</si>
  <si>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</si>
  <si>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</si>
  <si>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</si>
  <si>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</si>
  <si>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</si>
  <si>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</si>
  <si>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</si>
  <si>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</si>
  <si>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</si>
  <si>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</si>
  <si>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</si>
  <si>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</si>
  <si>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</si>
  <si>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</si>
  <si>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</si>
  <si>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</si>
  <si>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</si>
  <si>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</si>
  <si>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</si>
  <si>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</si>
  <si>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</si>
  <si>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</si>
  <si>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</si>
  <si>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</si>
  <si>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</si>
  <si>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</si>
  <si>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</si>
  <si>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</si>
  <si>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</si>
  <si>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</si>
  <si>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</si>
  <si>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</si>
  <si>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</si>
  <si>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</si>
  <si>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</si>
  <si>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</si>
  <si>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</si>
  <si>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</si>
  <si>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</si>
  <si>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</si>
  <si>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</si>
  <si>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</si>
  <si>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</si>
  <si>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</si>
  <si>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</si>
  <si>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</si>
  <si>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</si>
  <si>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</si>
  <si>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</si>
  <si>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</si>
  <si>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</si>
  <si>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</si>
  <si>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</si>
  <si>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</si>
  <si>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</si>
  <si>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</si>
  <si>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</si>
  <si>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</si>
  <si>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</si>
  <si>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</si>
  <si>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</si>
  <si>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</si>
  <si>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</si>
  <si>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</si>
  <si>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</si>
  <si>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</si>
  <si>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</si>
  <si>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</si>
  <si>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</si>
  <si>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</si>
  <si>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</si>
  <si>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</si>
  <si>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</si>
  <si>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</si>
  <si>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</si>
  <si>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</si>
  <si>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</si>
  <si>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</si>
  <si>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</si>
  <si>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</si>
  <si>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</si>
  <si>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</si>
  <si>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</si>
  <si>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</si>
  <si>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</si>
  <si>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</si>
  <si>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</si>
  <si>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</si>
  <si>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</si>
  <si>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</si>
  <si>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</si>
  <si>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</si>
  <si>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</si>
  <si>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</si>
  <si>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</si>
  <si>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</si>
  <si>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</si>
  <si>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</si>
  <si>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</si>
  <si>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</si>
  <si>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</si>
  <si>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</si>
  <si>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</si>
  <si>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</si>
  <si>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</si>
  <si>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</si>
  <si>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</si>
  <si>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</si>
  <si>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</si>
  <si>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</si>
  <si>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</si>
  <si>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</si>
  <si>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</si>
  <si>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</si>
  <si>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</si>
  <si>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</si>
  <si>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</si>
  <si>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</si>
  <si>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</si>
  <si>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</si>
  <si>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</si>
  <si>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</si>
  <si>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</si>
  <si>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</si>
  <si>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</si>
  <si>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</si>
  <si>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</si>
  <si>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</si>
  <si>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</si>
  <si>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</si>
  <si>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</si>
  <si>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</si>
  <si>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</si>
  <si>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</si>
  <si>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</si>
  <si>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</si>
  <si>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</si>
  <si>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</si>
  <si>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</si>
  <si>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</si>
  <si>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</si>
  <si>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</si>
  <si>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</si>
  <si>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</si>
  <si>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</si>
  <si>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</si>
  <si>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</si>
  <si>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</si>
  <si>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</si>
  <si>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</si>
  <si>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</si>
  <si>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</si>
  <si>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</si>
  <si>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</si>
  <si>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</si>
  <si>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</si>
  <si>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</si>
  <si>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</si>
  <si>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</si>
  <si>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</si>
  <si>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</si>
  <si>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</si>
  <si>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</si>
  <si>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</si>
  <si>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</si>
  <si>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</si>
  <si>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</si>
  <si>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</si>
  <si>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</si>
  <si>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</si>
  <si>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</si>
  <si>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</si>
  <si>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</si>
  <si>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</si>
  <si>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</si>
  <si>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</si>
  <si>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</si>
  <si>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</si>
  <si>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</si>
  <si>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</si>
  <si>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</si>
  <si>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</si>
  <si>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</si>
  <si>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</si>
  <si>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</si>
  <si>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</si>
  <si>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</si>
  <si>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</si>
  <si>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</si>
  <si>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</si>
  <si>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</si>
  <si>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</si>
  <si>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</si>
  <si>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</si>
  <si>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</si>
  <si>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</si>
  <si>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</si>
  <si>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</si>
  <si>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</si>
  <si>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</si>
  <si>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</si>
  <si>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</si>
  <si>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</si>
  <si>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</si>
  <si>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</si>
  <si>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</si>
  <si>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</si>
  <si>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</si>
  <si>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</si>
  <si>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</si>
  <si>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</si>
  <si>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</si>
  <si>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</si>
  <si>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</si>
  <si>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</si>
  <si>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</si>
  <si>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</si>
  <si>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</si>
  <si>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</si>
  <si>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</si>
  <si>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</si>
  <si>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</si>
  <si>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</si>
  <si>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</si>
  <si>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</si>
  <si>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</si>
  <si>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</si>
  <si>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</si>
  <si>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</si>
  <si>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</si>
  <si>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</si>
  <si>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</si>
  <si>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</si>
  <si>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</si>
  <si>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</si>
  <si>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</si>
  <si>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</si>
  <si>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</si>
  <si>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</si>
  <si>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</si>
  <si>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</si>
  <si>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</si>
  <si>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</si>
  <si>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</si>
  <si>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</si>
  <si>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</si>
  <si>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</si>
  <si>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</si>
  <si>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</si>
  <si>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</si>
  <si>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</si>
  <si>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</si>
  <si>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</si>
  <si>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</si>
  <si>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</si>
  <si>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</si>
  <si>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</si>
  <si>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</si>
  <si>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</si>
  <si>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</si>
  <si>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</si>
  <si>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</si>
  <si>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</si>
  <si>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</si>
  <si>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</si>
  <si>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</si>
  <si>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</si>
  <si>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</si>
  <si>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</si>
  <si>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</si>
  <si>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</si>
  <si>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</si>
  <si>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</si>
  <si>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</si>
  <si>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</si>
  <si>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</si>
  <si>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</si>
  <si>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</si>
  <si>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</si>
  <si>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</si>
  <si>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</si>
  <si>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</si>
  <si>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</si>
  <si>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</si>
  <si>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</si>
  <si>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</si>
  <si>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</si>
  <si>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</si>
  <si>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</si>
  <si>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</si>
  <si>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</si>
  <si>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</si>
  <si>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</si>
  <si>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</si>
  <si>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</si>
  <si>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</si>
  <si>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</si>
  <si>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</si>
  <si>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</si>
  <si>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</si>
  <si>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</si>
  <si>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</si>
  <si>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</si>
  <si>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</si>
  <si>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</si>
  <si>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</si>
  <si>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</si>
  <si>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</si>
  <si>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</si>
  <si>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</si>
  <si>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</si>
  <si>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</si>
  <si>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</si>
  <si>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</si>
  <si>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</si>
  <si>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</si>
  <si>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</si>
  <si>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</si>
  <si>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</si>
  <si>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</si>
  <si>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</si>
  <si>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</si>
  <si>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</si>
  <si>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</si>
  <si>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</si>
  <si>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</si>
  <si>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</si>
  <si>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</si>
  <si>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</si>
  <si>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</si>
  <si>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</si>
  <si>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</si>
  <si>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</si>
  <si>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</si>
  <si>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</si>
  <si>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</si>
  <si>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</si>
  <si>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</si>
  <si>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</si>
  <si>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</si>
  <si>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</si>
  <si>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</si>
  <si>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</si>
  <si>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</si>
  <si>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</si>
  <si>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</si>
  <si>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</si>
  <si>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</si>
  <si>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</si>
  <si>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</si>
  <si>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</si>
  <si>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</si>
  <si>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</si>
  <si>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</si>
  <si>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</si>
  <si>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</si>
  <si>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</si>
  <si>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</si>
  <si>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</si>
  <si>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</si>
  <si>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</si>
  <si>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</si>
  <si>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</si>
  <si>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</si>
  <si>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</si>
  <si>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</si>
  <si>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</si>
  <si>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</si>
  <si>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</si>
  <si>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</si>
  <si>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</si>
  <si>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</si>
  <si>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</si>
  <si>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</si>
  <si>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</si>
  <si>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</si>
  <si>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</si>
  <si>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</si>
  <si>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</si>
  <si>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</si>
  <si>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</si>
  <si>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</si>
  <si>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</si>
  <si>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</si>
  <si>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</si>
  <si>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</si>
  <si>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</si>
  <si>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</si>
  <si>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</si>
  <si>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</si>
  <si>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</si>
  <si>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</si>
  <si>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</si>
  <si>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</si>
  <si>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</si>
  <si>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</si>
  <si>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</si>
  <si>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</si>
  <si>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</si>
  <si>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</si>
  <si>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</si>
  <si>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</si>
  <si>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</si>
  <si>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</si>
  <si>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</si>
  <si>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</si>
  <si>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</si>
  <si>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</si>
  <si>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</si>
  <si>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</si>
  <si>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</si>
  <si>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</si>
  <si>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</si>
  <si>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</si>
  <si>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</si>
  <si>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</si>
  <si>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</si>
  <si>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</si>
  <si>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</si>
  <si>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</si>
  <si>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</si>
  <si>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</si>
  <si>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</si>
  <si>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</si>
  <si>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</si>
  <si>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</si>
  <si>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</si>
  <si>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</si>
  <si>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</si>
  <si>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</si>
  <si>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</si>
  <si>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</si>
  <si>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</si>
  <si>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</si>
  <si>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</si>
  <si>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</si>
  <si>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</si>
  <si>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</si>
  <si>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</si>
  <si>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</si>
  <si>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</si>
  <si>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</si>
  <si>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</si>
  <si>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</si>
  <si>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</si>
  <si>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</si>
  <si>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</si>
  <si>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</si>
  <si>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</si>
  <si>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</si>
  <si>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</si>
  <si>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</si>
  <si>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</si>
  <si>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</si>
  <si>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</si>
  <si>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</si>
  <si>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</si>
  <si>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</si>
  <si>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</si>
  <si>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</si>
  <si>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</si>
  <si>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</si>
  <si>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</si>
  <si>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</si>
  <si>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</si>
  <si>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</si>
  <si>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</si>
  <si>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</si>
  <si>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</si>
  <si>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</si>
  <si>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</si>
  <si>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</si>
  <si>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</si>
  <si>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</si>
  <si>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</si>
  <si>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</si>
  <si>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</si>
  <si>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</si>
  <si>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</si>
  <si>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</si>
  <si>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</si>
  <si>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</si>
  <si>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</si>
  <si>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</si>
  <si>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</si>
  <si>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</si>
  <si>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</si>
  <si>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</si>
  <si>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</si>
  <si>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</si>
  <si>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</si>
  <si>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</si>
  <si>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</si>
  <si>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</si>
  <si>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</si>
  <si>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</si>
  <si>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</si>
  <si>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</si>
  <si>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</si>
  <si>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</si>
  <si>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</si>
  <si>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</si>
  <si>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</si>
  <si>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</si>
  <si>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</si>
  <si>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</si>
  <si>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</si>
  <si>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</si>
  <si>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</si>
  <si>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</si>
  <si>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</si>
  <si>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</si>
  <si>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</si>
  <si>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</si>
  <si>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</si>
  <si>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</si>
  <si>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</si>
  <si>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</si>
  <si>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</si>
  <si>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</si>
  <si>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</si>
  <si>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</si>
  <si>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</si>
  <si>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</si>
  <si>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</si>
  <si>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</si>
  <si>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</si>
  <si>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</si>
  <si>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</si>
  <si>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</si>
  <si>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</si>
  <si>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</si>
  <si>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</si>
  <si>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</si>
  <si>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</si>
  <si>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</si>
  <si>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</si>
  <si>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</si>
  <si>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</si>
  <si>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</si>
  <si>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</si>
  <si>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</si>
  <si>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</si>
  <si>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</si>
  <si>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</si>
  <si>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</si>
  <si>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</si>
  <si>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</si>
  <si>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</si>
  <si>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</si>
  <si>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</si>
  <si>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</si>
  <si>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</si>
  <si>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</si>
  <si>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</si>
  <si>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</si>
  <si>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</si>
  <si>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</si>
  <si>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</si>
  <si>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</si>
  <si>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</si>
  <si>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</si>
  <si>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</si>
  <si>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</si>
  <si>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</si>
  <si>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</si>
  <si>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</si>
  <si>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</si>
  <si>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</si>
  <si>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</si>
  <si>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</si>
  <si>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</si>
  <si>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</si>
  <si>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</si>
  <si>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</si>
  <si>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</si>
  <si>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</si>
  <si>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</si>
  <si>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</si>
  <si>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</si>
  <si>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</si>
  <si>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</si>
  <si>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</si>
  <si>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</si>
  <si>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</si>
  <si>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</si>
  <si>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</si>
  <si>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</si>
  <si>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</si>
  <si>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</si>
  <si>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</si>
  <si>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</si>
  <si>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</si>
  <si>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</si>
  <si>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</si>
  <si>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</si>
  <si>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</si>
  <si>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</si>
  <si>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</si>
  <si>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</si>
  <si>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</si>
  <si>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</si>
  <si>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</si>
  <si>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</si>
  <si>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</si>
  <si>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</si>
  <si>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</si>
  <si>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</si>
  <si>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</si>
  <si>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</si>
  <si>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</si>
  <si>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</si>
  <si>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</si>
  <si>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</si>
  <si>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</si>
  <si>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</si>
  <si>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</si>
  <si>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</si>
  <si>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</si>
  <si>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</si>
  <si>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</si>
  <si>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</si>
  <si>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</si>
  <si>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</si>
  <si>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</si>
  <si>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</si>
  <si>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</si>
  <si>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</si>
  <si>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</si>
  <si>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</si>
  <si>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</si>
  <si>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</si>
  <si>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</si>
  <si>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</si>
  <si>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</si>
  <si>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</si>
  <si>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</si>
  <si>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</si>
  <si>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</si>
  <si>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</si>
  <si>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</si>
  <si>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</si>
  <si>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</si>
  <si>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</si>
  <si>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</si>
  <si>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</si>
  <si>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</si>
  <si>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</si>
  <si>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</si>
  <si>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</si>
  <si>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</si>
  <si>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</si>
  <si>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</si>
  <si>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</si>
  <si>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</si>
  <si>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</si>
  <si>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</si>
  <si>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</si>
  <si>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</si>
  <si>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</si>
  <si>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</si>
  <si>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</si>
  <si>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</si>
  <si>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</si>
  <si>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</si>
  <si>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</si>
  <si>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</si>
  <si>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</si>
  <si>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</si>
  <si>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</si>
  <si>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</si>
  <si>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</si>
  <si>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</si>
  <si>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</si>
  <si>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</si>
  <si>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</si>
  <si>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</si>
  <si>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</si>
  <si>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</si>
  <si>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</si>
  <si>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</si>
  <si>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</si>
  <si>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</si>
  <si>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</si>
  <si>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</si>
  <si>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</si>
  <si>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</si>
  <si>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</si>
  <si>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</si>
  <si>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</si>
  <si>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</si>
  <si>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</si>
  <si>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</si>
  <si>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</si>
  <si>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</si>
  <si>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</si>
  <si>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</si>
  <si>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</si>
  <si>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</si>
  <si>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</si>
  <si>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</si>
  <si>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</si>
  <si>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</si>
  <si>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</si>
  <si>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</si>
  <si>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</si>
  <si>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</si>
  <si>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</si>
  <si>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</si>
  <si>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</si>
  <si>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</si>
  <si>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</si>
  <si>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</si>
  <si>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</si>
  <si>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</si>
  <si>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</si>
  <si>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</si>
  <si>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</si>
  <si>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</si>
  <si>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</si>
  <si>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</si>
  <si>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</si>
  <si>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</si>
  <si>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</si>
  <si>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</si>
  <si>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</si>
  <si>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</si>
  <si>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</si>
  <si>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</si>
  <si>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</si>
  <si>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</si>
  <si>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</si>
  <si>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</si>
  <si>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</si>
  <si>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</si>
  <si>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</si>
  <si>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</si>
  <si>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</si>
  <si>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</si>
  <si>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</si>
  <si>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</si>
  <si>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</si>
  <si>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</si>
  <si>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</si>
  <si>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</si>
  <si>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</si>
  <si>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</si>
  <si>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</si>
  <si>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</si>
  <si>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</si>
  <si>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</si>
  <si>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</si>
  <si>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</si>
  <si>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</si>
  <si>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</si>
  <si>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</si>
  <si>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</si>
  <si>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</si>
  <si>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</si>
  <si>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</si>
  <si>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</si>
  <si>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</si>
  <si>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</si>
  <si>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</si>
  <si>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</si>
  <si>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</si>
  <si>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</si>
  <si>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</si>
  <si>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</si>
  <si>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</si>
  <si>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</si>
  <si>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</si>
  <si>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</si>
  <si>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</si>
  <si>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</si>
  <si>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</si>
  <si>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</si>
  <si>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</si>
  <si>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</si>
  <si>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</si>
  <si>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</si>
  <si>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</si>
  <si>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</si>
  <si>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</si>
  <si>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</si>
  <si>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</si>
  <si>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</si>
  <si>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</si>
  <si>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</si>
  <si>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</si>
  <si>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</si>
  <si>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</si>
  <si>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</si>
  <si>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</si>
  <si>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</si>
  <si>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</si>
  <si>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</si>
  <si>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</si>
  <si>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</si>
  <si>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</si>
  <si>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</si>
  <si>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</si>
  <si>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</si>
  <si>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</si>
  <si>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</si>
  <si>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</si>
  <si>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</si>
  <si>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</si>
  <si>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</si>
  <si>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</si>
  <si>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</si>
  <si>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</si>
  <si>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</si>
  <si>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</si>
  <si>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</si>
  <si>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</si>
  <si>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</si>
  <si>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</si>
  <si>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</si>
  <si>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</si>
  <si>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</si>
  <si>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</si>
  <si>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</si>
  <si>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</si>
  <si>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</si>
  <si>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</si>
  <si>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</si>
  <si>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</si>
  <si>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</si>
  <si>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</si>
  <si>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</si>
  <si>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</si>
  <si>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</si>
  <si>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</si>
  <si>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</si>
  <si>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</si>
  <si>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</si>
  <si>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</si>
  <si>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</si>
  <si>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</si>
  <si>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</si>
  <si>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</si>
  <si>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</si>
  <si>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</si>
  <si>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</si>
  <si>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</si>
  <si>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</si>
  <si>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</si>
  <si>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</si>
  <si>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</si>
  <si>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</si>
  <si>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</si>
  <si>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</si>
  <si>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</si>
  <si>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</si>
  <si>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</si>
  <si>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</si>
  <si>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</si>
  <si>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</si>
  <si>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</si>
  <si>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</si>
  <si>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</si>
  <si>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</si>
  <si>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</si>
  <si>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</si>
  <si>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</si>
  <si>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</si>
  <si>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</si>
  <si>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</si>
  <si>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</si>
  <si>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</si>
  <si>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</si>
  <si>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</si>
  <si>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</si>
  <si>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</si>
  <si>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</si>
  <si>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</si>
  <si>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</si>
  <si>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</si>
  <si>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</si>
  <si>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</si>
  <si>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</si>
  <si>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</si>
  <si>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</si>
  <si>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</si>
  <si>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</si>
  <si>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</si>
  <si>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</si>
  <si>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</si>
  <si>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</si>
  <si>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</si>
  <si>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</si>
  <si>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</si>
  <si>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</si>
  <si>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</si>
  <si>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</si>
  <si>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</si>
  <si>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</si>
  <si>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</si>
  <si>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</si>
  <si>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</si>
  <si>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</si>
  <si>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</si>
  <si>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</si>
  <si>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</si>
  <si>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</si>
  <si>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</si>
  <si>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</si>
  <si>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</si>
  <si>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</si>
  <si>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</si>
  <si>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</si>
  <si>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</si>
  <si>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</si>
  <si>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</si>
  <si>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</si>
  <si>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</si>
  <si>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</si>
  <si>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</si>
  <si>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</si>
  <si>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</si>
  <si>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</si>
  <si>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</si>
  <si>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</si>
  <si>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</si>
  <si>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</si>
  <si>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</si>
  <si>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</si>
  <si>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</si>
  <si>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</si>
  <si>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</si>
  <si>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</si>
  <si>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</si>
  <si>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</si>
  <si>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</si>
  <si>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</si>
  <si>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</si>
  <si>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</si>
  <si>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</si>
  <si>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</si>
  <si>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</si>
  <si>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</si>
  <si>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</si>
  <si>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</si>
  <si>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</si>
  <si>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</si>
  <si>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</si>
  <si>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</si>
  <si>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</si>
  <si>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</si>
  <si>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</si>
  <si>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</si>
  <si>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</si>
  <si>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</si>
  <si>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</si>
  <si>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</si>
  <si>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</si>
  <si>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</si>
  <si>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</si>
  <si>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</si>
  <si>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</si>
  <si>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</si>
  <si>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</si>
  <si>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</si>
  <si>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</si>
  <si>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</si>
  <si>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</si>
  <si>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</si>
  <si>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</si>
  <si>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</si>
  <si>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</si>
  <si>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</si>
  <si>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</si>
  <si>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</si>
  <si>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</si>
  <si>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</si>
  <si>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</si>
  <si>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</si>
  <si>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</si>
  <si>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</si>
  <si>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</si>
  <si>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</si>
  <si>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</si>
  <si>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</si>
  <si>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</si>
  <si>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</si>
  <si>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</si>
  <si>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</si>
  <si>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</si>
  <si>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</si>
  <si>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</si>
  <si>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</si>
  <si>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</si>
  <si>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</si>
  <si>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</si>
  <si>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</si>
  <si>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</si>
  <si>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</si>
  <si>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</si>
  <si>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</si>
  <si>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</si>
  <si>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</si>
  <si>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</si>
  <si>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</si>
  <si>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</si>
  <si>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</si>
  <si>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</si>
  <si>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</si>
  <si>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</si>
  <si>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</si>
  <si>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</si>
  <si>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</si>
  <si>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</si>
  <si>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</si>
  <si>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</si>
  <si>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</si>
  <si>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</si>
  <si>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</si>
  <si>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</si>
  <si>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</si>
  <si>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</si>
  <si>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</si>
  <si>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</si>
  <si>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</si>
  <si>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</si>
  <si>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</si>
  <si>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</si>
  <si>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</si>
  <si>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</si>
  <si>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</si>
  <si>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</si>
  <si>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</si>
  <si>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</si>
  <si>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</si>
  <si>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</si>
  <si>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</si>
  <si>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</si>
  <si>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</si>
  <si>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</si>
  <si>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</si>
  <si>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</si>
  <si>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</si>
  <si>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</si>
  <si>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</si>
  <si>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</si>
  <si>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</si>
  <si>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</si>
  <si>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</si>
  <si>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</si>
  <si>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</si>
  <si>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</si>
  <si>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</si>
  <si>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</si>
  <si>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</si>
  <si>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</si>
  <si>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</si>
  <si>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</si>
  <si>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</si>
  <si>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</si>
  <si>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</si>
  <si>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</si>
  <si>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</si>
  <si>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</si>
  <si>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</si>
  <si>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</si>
  <si>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</si>
  <si>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</si>
  <si>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</si>
  <si>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</si>
  <si>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</si>
  <si>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</si>
  <si>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</si>
  <si>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</si>
  <si>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</si>
  <si>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</si>
  <si>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</si>
  <si>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</si>
  <si>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</si>
  <si>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</si>
  <si>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</si>
  <si>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</si>
  <si>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</si>
  <si>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</si>
  <si>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</si>
  <si>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</si>
  <si>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</si>
  <si>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</si>
  <si>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</si>
  <si>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</si>
  <si>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</si>
  <si>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</si>
  <si>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</si>
  <si>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</si>
  <si>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</si>
  <si>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</si>
  <si>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</si>
  <si>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</si>
  <si>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</si>
  <si>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</si>
  <si>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</si>
  <si>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</si>
  <si>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</si>
  <si>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</si>
  <si>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</si>
  <si>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</si>
  <si>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</si>
  <si>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</si>
  <si>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</si>
  <si>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</si>
  <si>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</si>
  <si>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</si>
  <si>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</si>
  <si>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</si>
  <si>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</si>
  <si>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</si>
  <si>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</si>
  <si>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</si>
  <si>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</si>
  <si>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</si>
  <si>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</si>
  <si>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</si>
  <si>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</si>
  <si>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</si>
  <si>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</si>
  <si>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</si>
  <si>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</si>
  <si>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</si>
  <si>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</si>
  <si>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</si>
  <si>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</si>
  <si>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</si>
  <si>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</si>
  <si>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</si>
  <si>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</si>
  <si>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</si>
  <si>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</si>
  <si>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</si>
  <si>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</si>
  <si>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</si>
  <si>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</si>
  <si>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</si>
  <si>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</si>
  <si>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</si>
  <si>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</si>
  <si>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</si>
  <si>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</si>
  <si>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</si>
  <si>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</si>
  <si>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</si>
  <si>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</si>
  <si>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</si>
  <si>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</si>
  <si>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</si>
  <si>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</si>
  <si>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</si>
  <si>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</si>
  <si>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</si>
  <si>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</si>
  <si>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</si>
  <si>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</si>
  <si>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</si>
  <si>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</si>
  <si>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</si>
  <si>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</si>
  <si>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</si>
  <si>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</si>
  <si>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</si>
  <si>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</si>
  <si>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</si>
  <si>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</si>
  <si>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</si>
  <si>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</si>
  <si>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</si>
  <si>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</si>
  <si>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</si>
  <si>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</si>
  <si>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</si>
  <si>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</si>
  <si>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</si>
  <si>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</si>
  <si>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</si>
  <si>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</si>
  <si>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</si>
  <si>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</si>
  <si>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</si>
  <si>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</si>
  <si>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</si>
  <si>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</si>
  <si>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</si>
  <si>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</si>
  <si>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</si>
  <si>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</si>
  <si>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</si>
  <si>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</si>
  <si>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</si>
  <si>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</si>
  <si>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</si>
  <si>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</si>
  <si>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</si>
  <si>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</si>
  <si>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</si>
  <si>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</si>
  <si>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</si>
  <si>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</si>
  <si>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</si>
  <si>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</si>
  <si>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</si>
  <si>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</si>
  <si>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</si>
  <si>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</si>
  <si>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</si>
  <si>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</si>
  <si>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</si>
  <si>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</si>
  <si>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</si>
  <si>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</si>
  <si>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</si>
  <si>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</si>
  <si>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</si>
  <si>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</si>
  <si>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</si>
  <si>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</si>
  <si>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</si>
  <si>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</si>
  <si>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</si>
  <si>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</si>
  <si>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</si>
  <si>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</si>
  <si>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</si>
  <si>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</si>
  <si>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</si>
  <si>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</si>
  <si>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</si>
  <si>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</si>
  <si>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</si>
  <si>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</si>
  <si>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</si>
  <si>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</si>
  <si>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</si>
  <si>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</si>
  <si>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</si>
  <si>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</si>
  <si>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</si>
  <si>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</si>
  <si>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</si>
  <si>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</si>
  <si>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</si>
  <si>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</si>
  <si>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</si>
  <si>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</si>
  <si>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</si>
  <si>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</si>
  <si>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</si>
  <si>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</si>
  <si>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</si>
  <si>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</si>
  <si>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</si>
  <si>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</si>
  <si>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</si>
  <si>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</si>
  <si>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</si>
  <si>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</si>
  <si>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</si>
  <si>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</si>
  <si>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</si>
  <si>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</si>
  <si>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</si>
  <si>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</si>
  <si>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</si>
  <si>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</si>
  <si>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</si>
  <si>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</si>
  <si>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</si>
  <si>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</si>
  <si>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</si>
  <si>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</si>
  <si>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</si>
  <si>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</si>
  <si>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</si>
  <si>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</si>
  <si>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</si>
  <si>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</si>
  <si>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</si>
  <si>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</si>
  <si>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</si>
  <si>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</si>
  <si>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</si>
  <si>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</si>
  <si>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</si>
  <si>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</si>
  <si>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</si>
  <si>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</si>
  <si>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</si>
  <si>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</si>
  <si>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</si>
  <si>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</si>
  <si>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</si>
  <si>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</si>
  <si>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</si>
  <si>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</si>
  <si>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</si>
  <si>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</si>
  <si>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</si>
  <si>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</si>
  <si>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</si>
  <si>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</si>
  <si>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</si>
  <si>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</si>
  <si>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</si>
  <si>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</si>
  <si>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</si>
  <si>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</si>
  <si>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</si>
  <si>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</si>
  <si>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</si>
  <si>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</si>
  <si>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</si>
  <si>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</si>
  <si>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</si>
  <si>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</si>
  <si>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</si>
  <si>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</si>
  <si>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</si>
  <si>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</si>
  <si>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</si>
  <si>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</si>
  <si>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</si>
  <si>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</si>
  <si>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</si>
  <si>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</si>
  <si>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</si>
  <si>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</si>
  <si>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</si>
  <si>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</si>
  <si>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</si>
  <si>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</si>
  <si>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</si>
  <si>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</si>
  <si>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</si>
  <si>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</si>
  <si>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</si>
  <si>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</si>
  <si>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</si>
  <si>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</si>
  <si>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</si>
  <si>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</si>
  <si>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</si>
  <si>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</si>
  <si>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</si>
  <si>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</si>
  <si>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</si>
  <si>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</si>
  <si>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</si>
  <si>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</si>
  <si>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</si>
  <si>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</si>
  <si>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</si>
  <si>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</si>
  <si>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</si>
  <si>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</si>
  <si>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</si>
  <si>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</si>
  <si>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</si>
  <si>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</si>
  <si>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</si>
  <si>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</si>
  <si>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</si>
  <si>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</si>
  <si>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</si>
  <si>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</si>
  <si>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</si>
  <si>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</si>
  <si>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</si>
  <si>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</si>
  <si>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</si>
  <si>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</si>
  <si>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</si>
  <si>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</si>
  <si>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</si>
  <si>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</si>
  <si>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</si>
  <si>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</si>
  <si>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</si>
  <si>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</si>
  <si>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</si>
  <si>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</si>
  <si>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</si>
  <si>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</si>
  <si>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</si>
  <si>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</si>
  <si>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</si>
  <si>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</si>
  <si>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</si>
  <si>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</si>
  <si>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</si>
  <si>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</si>
  <si>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</si>
  <si>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</si>
  <si>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</si>
  <si>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</si>
  <si>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</si>
  <si>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</si>
  <si>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</si>
  <si>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</si>
  <si>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</si>
  <si>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</si>
  <si>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</si>
  <si>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</si>
  <si>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</si>
  <si>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</si>
  <si>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</si>
  <si>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</si>
  <si>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</si>
  <si>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</si>
  <si>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</si>
  <si>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</si>
  <si>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</si>
  <si>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</si>
  <si>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</si>
  <si>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</si>
  <si>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</si>
  <si>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</si>
  <si>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</si>
  <si>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</si>
  <si>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</si>
  <si>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</si>
  <si>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</si>
  <si>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</si>
  <si>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</si>
  <si>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</si>
  <si>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</si>
  <si>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</si>
  <si>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</si>
  <si>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</si>
  <si>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</si>
  <si>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</si>
  <si>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</si>
  <si>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</si>
  <si>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</si>
  <si>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</si>
  <si>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</si>
  <si>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</si>
  <si>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</si>
  <si>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</si>
  <si>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</si>
  <si>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</si>
  <si>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</si>
  <si>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</si>
  <si>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</si>
  <si>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</si>
  <si>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</si>
  <si>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</si>
  <si>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</si>
  <si>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</si>
  <si>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</si>
  <si>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</si>
  <si>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</si>
  <si>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</si>
  <si>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</si>
  <si>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</si>
  <si>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</si>
  <si>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</si>
  <si>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</si>
  <si>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</si>
  <si>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</si>
  <si>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</si>
  <si>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</si>
  <si>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</si>
  <si>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</si>
  <si>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</si>
  <si>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</si>
  <si>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</si>
  <si>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</si>
  <si>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</si>
  <si>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</si>
  <si>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</si>
  <si>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</si>
  <si>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</si>
  <si>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</si>
  <si>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</si>
  <si>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</si>
  <si>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</si>
  <si>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</si>
  <si>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</si>
  <si>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</si>
  <si>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</si>
  <si>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</si>
  <si>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</si>
  <si>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</si>
  <si>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</si>
  <si>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</si>
  <si>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</si>
  <si>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</si>
  <si>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</si>
  <si>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</si>
  <si>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</si>
  <si>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</si>
  <si>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</si>
  <si>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</si>
  <si>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</si>
  <si>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</si>
  <si>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</si>
  <si>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</si>
  <si>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</si>
  <si>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</si>
  <si>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</si>
  <si>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</si>
  <si>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</si>
  <si>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</si>
  <si>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</si>
  <si>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</si>
  <si>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</si>
  <si>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</si>
  <si>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</si>
  <si>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</si>
  <si>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</si>
  <si>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</si>
  <si>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</si>
  <si>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</si>
  <si>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</si>
  <si>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</si>
  <si>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</si>
  <si>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</si>
  <si>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</si>
  <si>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</si>
  <si>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</si>
  <si>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</si>
  <si>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</si>
  <si>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</si>
  <si>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</si>
  <si>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</si>
  <si>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</si>
  <si>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</si>
  <si>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</si>
  <si>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</si>
  <si>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</si>
  <si>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</si>
  <si>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</si>
  <si>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</si>
  <si>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</si>
  <si>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</si>
  <si>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</si>
  <si>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</si>
  <si>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</si>
  <si>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</si>
  <si>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</si>
  <si>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</si>
  <si>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</si>
  <si>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</si>
  <si>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</si>
  <si>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</si>
  <si>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</si>
  <si>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</si>
  <si>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</si>
  <si>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</si>
  <si>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</si>
  <si>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</si>
  <si>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</si>
  <si>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</si>
  <si>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</si>
  <si>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</si>
  <si>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</si>
  <si>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</si>
  <si>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</si>
  <si>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</si>
  <si>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</si>
  <si>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</si>
  <si>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</si>
  <si>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</si>
  <si>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</si>
  <si>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</si>
  <si>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</si>
  <si>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</si>
  <si>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</si>
  <si>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</si>
  <si>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</si>
  <si>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</si>
  <si>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</si>
  <si>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</si>
  <si>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</si>
  <si>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</si>
  <si>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</si>
  <si>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</si>
  <si>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</si>
  <si>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</si>
  <si>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</si>
  <si>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</si>
  <si>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</si>
  <si>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</si>
  <si>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</si>
  <si>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</si>
  <si>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</si>
  <si>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</si>
  <si>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</si>
  <si>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</si>
  <si>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</si>
  <si>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</si>
  <si>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</si>
  <si>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</si>
  <si>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</si>
  <si>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</si>
  <si>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</si>
  <si>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</si>
  <si>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</si>
  <si>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</si>
  <si>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</si>
  <si>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</si>
  <si>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</si>
  <si>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</si>
  <si>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</si>
  <si>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</si>
  <si>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</si>
  <si>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</si>
  <si>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</si>
  <si>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</si>
  <si>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</si>
  <si>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</si>
  <si>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</si>
  <si>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</si>
  <si>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</si>
  <si>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</si>
  <si>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</si>
  <si>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</si>
  <si>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</si>
  <si>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</si>
  <si>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</si>
  <si>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</si>
  <si>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</si>
  <si>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</si>
  <si>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</si>
  <si>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</si>
  <si>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</si>
  <si>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</si>
  <si>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</si>
  <si>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</si>
  <si>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</si>
  <si>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</si>
  <si>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</si>
  <si>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</si>
  <si>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</si>
  <si>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</si>
  <si>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</si>
  <si>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</si>
  <si>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</si>
  <si>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</si>
  <si>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</si>
  <si>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</si>
  <si>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</si>
  <si>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</si>
  <si>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</si>
  <si>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</si>
  <si>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</si>
  <si>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</si>
  <si>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</si>
  <si>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</si>
  <si>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</si>
  <si>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</si>
  <si>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</si>
  <si>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</si>
  <si>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</si>
  <si>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</si>
  <si>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</si>
  <si>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</si>
  <si>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</si>
  <si>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</si>
  <si>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</si>
  <si>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</si>
  <si>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</si>
  <si>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</si>
  <si>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</si>
  <si>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</si>
  <si>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</si>
  <si>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</si>
  <si>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</si>
  <si>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</si>
  <si>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</si>
  <si>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</si>
  <si>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</si>
  <si>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</si>
  <si>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</si>
  <si>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</si>
  <si>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</si>
  <si>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</si>
  <si>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</si>
  <si>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</si>
  <si>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</si>
  <si>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</si>
  <si>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</si>
  <si>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</si>
  <si>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</si>
  <si>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</si>
  <si>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</si>
  <si>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</si>
  <si>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</si>
  <si>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</si>
  <si>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</si>
  <si>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</si>
  <si>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</si>
  <si>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</si>
  <si>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</si>
  <si>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</si>
  <si>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</si>
  <si>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</si>
  <si>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</si>
  <si>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</si>
  <si>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</si>
  <si>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</si>
  <si>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</si>
  <si>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</si>
  <si>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</si>
  <si>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</si>
  <si>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</si>
  <si>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</si>
  <si>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</si>
  <si>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</si>
  <si>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</si>
  <si>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</si>
  <si>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</si>
  <si>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</si>
  <si>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</si>
  <si>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</si>
  <si>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</si>
  <si>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</si>
  <si>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</si>
  <si>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</si>
  <si>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</si>
  <si>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</si>
  <si>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</si>
  <si>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</si>
  <si>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</si>
  <si>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</si>
  <si>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</si>
  <si>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</si>
  <si>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</si>
  <si>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</si>
  <si>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</si>
  <si>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</si>
  <si>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</si>
  <si>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</si>
  <si>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</si>
  <si>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</si>
  <si>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</si>
  <si>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</si>
  <si>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</si>
  <si>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</si>
  <si>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</si>
  <si>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</si>
  <si>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</si>
  <si>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</si>
  <si>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</si>
  <si>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</si>
  <si>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</si>
  <si>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</si>
  <si>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</si>
  <si>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</si>
  <si>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</si>
  <si>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</si>
  <si>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</si>
  <si>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</si>
  <si>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</si>
  <si>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</si>
  <si>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</si>
  <si>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</si>
  <si>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</si>
  <si>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</si>
  <si>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</si>
  <si>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</si>
  <si>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</si>
  <si>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</si>
  <si>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</si>
  <si>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</si>
  <si>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</si>
  <si>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</si>
  <si>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</si>
  <si>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</si>
  <si>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</si>
  <si>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</si>
  <si>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</si>
  <si>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</si>
  <si>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</si>
  <si>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</si>
  <si>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</si>
  <si>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</si>
  <si>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</si>
  <si>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</si>
  <si>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</si>
  <si>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</si>
  <si>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</si>
  <si>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</si>
  <si>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</si>
  <si>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</si>
  <si>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</si>
  <si>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</si>
  <si>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</si>
  <si>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</si>
  <si>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</si>
  <si>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</si>
  <si>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</si>
  <si>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</si>
  <si>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</si>
  <si>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</si>
  <si>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</si>
  <si>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</si>
  <si>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</si>
  <si>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</si>
  <si>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</si>
  <si>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</si>
  <si>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</si>
  <si>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</si>
  <si>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</si>
  <si>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</si>
  <si>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</si>
  <si>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</si>
  <si>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</si>
  <si>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</si>
  <si>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</si>
  <si>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</si>
  <si>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</si>
  <si>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</si>
  <si>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</si>
  <si>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</si>
  <si>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</si>
  <si>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</si>
  <si>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</si>
  <si>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</si>
  <si>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</si>
  <si>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</si>
  <si>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</si>
  <si>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</si>
  <si>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</si>
  <si>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</si>
  <si>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</si>
  <si>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</si>
  <si>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</si>
  <si>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</si>
  <si>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</si>
  <si>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</si>
  <si>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</si>
  <si>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</si>
  <si>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</si>
  <si>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</si>
  <si>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</si>
  <si>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</si>
  <si>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</si>
  <si>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</si>
  <si>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</si>
  <si>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</si>
  <si>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</si>
  <si>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</si>
  <si>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</si>
  <si>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</si>
  <si>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</si>
  <si>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</si>
  <si>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</si>
  <si>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</si>
  <si>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</si>
  <si>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</si>
  <si>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</si>
  <si>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</si>
  <si>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</si>
  <si>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</si>
  <si>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</si>
  <si>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</si>
  <si>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</si>
  <si>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</si>
  <si>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</si>
  <si>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</si>
  <si>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</si>
  <si>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</si>
  <si>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</si>
  <si>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</si>
  <si>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</si>
  <si>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</si>
  <si>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</si>
  <si>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</si>
  <si>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</si>
  <si>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</si>
  <si>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</si>
  <si>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</si>
  <si>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</si>
  <si>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</si>
  <si>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</si>
  <si>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</si>
  <si>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</si>
  <si>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</si>
  <si>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</si>
  <si>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</si>
  <si>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</si>
  <si>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</si>
  <si>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</si>
  <si>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</si>
  <si>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</si>
  <si>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</si>
  <si>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</si>
  <si>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</si>
  <si>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</si>
  <si>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</si>
  <si>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</si>
  <si>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</si>
  <si>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</si>
  <si>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</si>
  <si>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</si>
  <si>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</si>
  <si>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</si>
  <si>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</si>
  <si>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</si>
  <si>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</si>
  <si>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</si>
  <si>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</si>
  <si>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</si>
  <si>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</si>
  <si>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</si>
  <si>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</si>
  <si>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</si>
  <si>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</si>
  <si>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</si>
  <si>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</si>
  <si>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</si>
  <si>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</si>
  <si>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</si>
  <si>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</si>
  <si>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</si>
  <si>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</si>
  <si>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</si>
  <si>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</si>
  <si>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</si>
  <si>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</si>
  <si>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</si>
  <si>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</si>
  <si>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</si>
  <si>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</si>
  <si>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</si>
  <si>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</si>
  <si>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</si>
  <si>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</si>
  <si>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</si>
  <si>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</si>
  <si>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</si>
  <si>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</si>
  <si>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</si>
  <si>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</si>
  <si>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</si>
  <si>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</si>
  <si>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</si>
  <si>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</si>
  <si>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</si>
  <si>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</si>
  <si>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</si>
  <si>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</si>
  <si>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</si>
  <si>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</si>
  <si>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</si>
  <si>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</si>
  <si>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</si>
  <si>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</si>
  <si>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</si>
  <si>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</si>
  <si>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</si>
  <si>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</si>
  <si>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</si>
  <si>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</si>
  <si>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</si>
  <si>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</si>
  <si>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</si>
  <si>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</si>
  <si>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</si>
  <si>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</si>
  <si>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</si>
  <si>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</si>
  <si>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</si>
  <si>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</si>
  <si>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</si>
  <si>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</si>
  <si>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</si>
  <si>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</si>
  <si>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</si>
  <si>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</si>
  <si>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</si>
  <si>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</si>
  <si>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</si>
  <si>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</si>
  <si>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</si>
  <si>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</si>
  <si>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</si>
  <si>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</si>
  <si>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</si>
  <si>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</si>
  <si>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</si>
  <si>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</si>
  <si>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</si>
  <si>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</si>
  <si>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</si>
  <si>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</si>
  <si>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</si>
  <si>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</si>
  <si>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</si>
  <si>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</si>
  <si>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</si>
  <si>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</si>
  <si>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</si>
  <si>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</si>
  <si>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</si>
  <si>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</si>
  <si>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</si>
  <si>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</si>
  <si>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</si>
  <si>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</si>
  <si>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</si>
  <si>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</si>
  <si>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</si>
  <si>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</si>
  <si>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</si>
  <si>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</si>
  <si>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</si>
  <si>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</si>
  <si>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</si>
  <si>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</si>
  <si>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</si>
  <si>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</si>
  <si>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</si>
  <si>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</si>
  <si>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</si>
  <si>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</si>
  <si>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</si>
  <si>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</si>
  <si>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</si>
  <si>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</si>
  <si>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</si>
  <si>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</si>
  <si>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</si>
  <si>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</si>
  <si>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</si>
  <si>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</si>
  <si>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</si>
  <si>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</si>
  <si>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</si>
  <si>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</si>
  <si>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</si>
  <si>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</si>
  <si>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</si>
  <si>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</si>
  <si>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</si>
  <si>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</si>
  <si>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</si>
  <si>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</si>
  <si>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</si>
  <si>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</si>
  <si>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</si>
  <si>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</si>
  <si>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</si>
  <si>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</si>
  <si>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</si>
  <si>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</si>
  <si>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</si>
  <si>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</si>
  <si>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</si>
  <si>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</si>
  <si>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</si>
  <si>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</si>
  <si>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</si>
  <si>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</si>
  <si>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</si>
  <si>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</si>
  <si>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</si>
  <si>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</si>
  <si>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</si>
  <si>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</si>
  <si>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</si>
  <si>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</si>
  <si>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</si>
  <si>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</si>
  <si>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</si>
  <si>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</si>
  <si>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</si>
  <si>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</si>
  <si>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</si>
  <si>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</si>
  <si>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</si>
  <si>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</si>
  <si>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</si>
  <si>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</si>
  <si>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</si>
  <si>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</si>
  <si>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</si>
  <si>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</si>
  <si>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</si>
  <si>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</si>
  <si>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</si>
  <si>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</si>
  <si>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</si>
  <si>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</si>
  <si>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</si>
  <si>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</si>
  <si>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</si>
  <si>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</si>
  <si>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</si>
  <si>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</si>
  <si>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</si>
  <si>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</si>
  <si>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</si>
  <si>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</si>
  <si>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</si>
  <si>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</si>
  <si>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</si>
  <si>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</si>
  <si>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</si>
  <si>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</si>
  <si>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</si>
  <si>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</si>
  <si>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</si>
  <si>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</si>
  <si>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</si>
  <si>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</si>
  <si>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</si>
  <si>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</si>
  <si>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</si>
  <si>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</si>
  <si>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</si>
  <si>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</si>
  <si>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</si>
  <si>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</si>
  <si>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</si>
  <si>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</si>
  <si>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</si>
  <si>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</si>
  <si>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</si>
  <si>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</si>
  <si>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</si>
  <si>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</si>
  <si>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</si>
  <si>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</si>
  <si>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</si>
  <si>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</si>
  <si>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</si>
  <si>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</si>
  <si>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</si>
  <si>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</si>
  <si>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</si>
  <si>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</si>
  <si>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</si>
  <si>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</si>
  <si>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</si>
  <si>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</si>
  <si>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</si>
  <si>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</si>
  <si>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</si>
  <si>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</si>
  <si>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</si>
  <si>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</si>
  <si>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</si>
  <si>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</si>
  <si>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</si>
  <si>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</si>
  <si>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</si>
  <si>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</si>
  <si>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</si>
  <si>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</si>
  <si>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</si>
  <si>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</si>
  <si>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</si>
  <si>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</si>
  <si>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</si>
  <si>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</si>
  <si>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</si>
  <si>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</si>
  <si>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</si>
  <si>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</si>
  <si>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</si>
  <si>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</si>
  <si>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</si>
  <si>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</si>
  <si>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</si>
  <si>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</si>
  <si>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</si>
  <si>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</si>
  <si>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</si>
  <si>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</si>
  <si>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</si>
  <si>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</si>
  <si>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</si>
  <si>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</si>
  <si>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</si>
  <si>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</si>
  <si>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</si>
  <si>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</si>
  <si>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</si>
  <si>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</si>
  <si>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</si>
  <si>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</si>
  <si>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</si>
  <si>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</si>
  <si>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</si>
  <si>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</si>
  <si>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</si>
  <si>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</si>
  <si>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</si>
  <si>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</si>
  <si>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</si>
  <si>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</si>
  <si>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</si>
  <si>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</si>
  <si>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</si>
  <si>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</si>
  <si>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</si>
  <si>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</si>
  <si>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</si>
  <si>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</si>
  <si>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</si>
  <si>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</si>
  <si>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</si>
  <si>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</si>
  <si>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</si>
  <si>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</si>
  <si>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</si>
  <si>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</si>
  <si>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</si>
  <si>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</si>
  <si>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</si>
  <si>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</si>
  <si>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</si>
  <si>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</si>
  <si>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</si>
  <si>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</si>
  <si>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</si>
  <si>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</si>
  <si>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</si>
  <si>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</si>
  <si>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</si>
  <si>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</si>
  <si>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</si>
  <si>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</si>
  <si>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</si>
  <si>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</si>
  <si>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</si>
  <si>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</si>
  <si>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</si>
  <si>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</si>
  <si>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</si>
  <si>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</si>
  <si>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</si>
  <si>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</si>
  <si>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</si>
  <si>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</si>
  <si>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</si>
  <si>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</si>
  <si>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</si>
  <si>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</si>
  <si>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</si>
  <si>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</si>
  <si>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</si>
  <si>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</si>
  <si>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</si>
  <si>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</si>
  <si>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</si>
  <si>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</si>
  <si>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</si>
  <si>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</si>
  <si>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</si>
  <si>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</si>
  <si>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</si>
  <si>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</si>
  <si>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</si>
  <si>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</si>
  <si>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</si>
  <si>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</si>
  <si>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</si>
  <si>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</si>
  <si>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</si>
  <si>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</si>
  <si>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</si>
  <si>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</si>
  <si>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</si>
  <si>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</si>
  <si>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</si>
  <si>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</si>
  <si>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</si>
  <si>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</si>
  <si>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</si>
  <si>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</si>
  <si>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</si>
  <si>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</si>
  <si>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</si>
  <si>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</si>
  <si>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</si>
  <si>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</si>
  <si>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</si>
  <si>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</si>
  <si>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</si>
  <si>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</si>
  <si>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</si>
  <si>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</si>
  <si>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</si>
  <si>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</si>
  <si>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</si>
  <si>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</si>
  <si>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</si>
  <si>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</si>
  <si>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</si>
  <si>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</si>
  <si>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</si>
  <si>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</si>
  <si>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</si>
  <si>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</si>
  <si>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</si>
  <si>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</si>
  <si>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</si>
  <si>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</si>
  <si>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</si>
  <si>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</si>
  <si>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</si>
  <si>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</si>
  <si>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</si>
  <si>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</si>
  <si>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</si>
  <si>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</si>
  <si>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</si>
  <si>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</si>
  <si>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</si>
  <si>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</si>
  <si>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</si>
  <si>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</si>
  <si>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</si>
  <si>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</si>
  <si>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</si>
  <si>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</si>
  <si>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</si>
  <si>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</si>
  <si>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</si>
  <si>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</si>
  <si>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</si>
  <si>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</si>
  <si>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</si>
  <si>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</si>
  <si>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</si>
  <si>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</si>
  <si>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</si>
  <si>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</si>
  <si>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</si>
  <si>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</si>
  <si>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</si>
  <si>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</si>
  <si>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</si>
  <si>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</si>
  <si>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</si>
  <si>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</si>
  <si>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</si>
  <si>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</si>
  <si>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</si>
  <si>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</si>
  <si>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</si>
  <si>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</si>
  <si>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</si>
  <si>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</si>
  <si>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</si>
  <si>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</si>
  <si>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</si>
  <si>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</si>
  <si>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</si>
  <si>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</si>
  <si>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</si>
  <si>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</si>
  <si>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</si>
  <si>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</si>
  <si>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</si>
  <si>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</si>
  <si>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</si>
  <si>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</si>
  <si>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</si>
  <si>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</si>
  <si>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</si>
  <si>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</si>
  <si>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</si>
  <si>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</si>
  <si>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</si>
  <si>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</si>
  <si>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</si>
  <si>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</si>
  <si>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</si>
  <si>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</si>
  <si>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</si>
  <si>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</si>
  <si>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</si>
  <si>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</si>
  <si>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</si>
  <si>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</si>
  <si>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</si>
  <si>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</si>
  <si>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</si>
  <si>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</si>
  <si>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</si>
  <si>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</si>
  <si>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</si>
  <si>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</si>
  <si>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</si>
  <si>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</si>
  <si>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</si>
  <si>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</si>
  <si>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</si>
  <si>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</si>
  <si>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</si>
  <si>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</si>
  <si>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</si>
  <si>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</si>
  <si>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</si>
  <si>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</si>
  <si>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</si>
  <si>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</si>
  <si>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</si>
  <si>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</si>
  <si>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</si>
  <si>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</si>
  <si>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</si>
  <si>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</si>
  <si>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</si>
  <si>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</si>
  <si>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</si>
  <si>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</si>
  <si>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</si>
  <si>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</si>
  <si>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</si>
  <si>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</si>
  <si>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</si>
  <si>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</si>
  <si>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</si>
  <si>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</si>
  <si>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</si>
  <si>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</si>
  <si>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</si>
  <si>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</si>
  <si>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</si>
  <si>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</si>
  <si>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</si>
  <si>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</si>
  <si>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</si>
  <si>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</si>
  <si>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</si>
  <si>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</si>
  <si>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</si>
  <si>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</si>
  <si>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</si>
  <si>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</si>
  <si>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</si>
  <si>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</si>
  <si>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</si>
  <si>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</si>
  <si>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</si>
  <si>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</si>
  <si>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</si>
  <si>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</si>
  <si>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</si>
  <si>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</si>
  <si>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</si>
  <si>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</si>
  <si>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</si>
  <si>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</si>
  <si>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</si>
  <si>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</si>
  <si>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</si>
  <si>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</si>
  <si>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</si>
  <si>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</si>
  <si>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</si>
  <si>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</si>
  <si>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</si>
  <si>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</si>
  <si>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</si>
  <si>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</si>
  <si>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</si>
  <si>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</si>
  <si>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</si>
  <si>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</si>
  <si>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</si>
  <si>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</si>
  <si>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</si>
  <si>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</si>
  <si>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</si>
  <si>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</si>
  <si>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</si>
  <si>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</si>
  <si>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</si>
  <si>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</si>
  <si>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</si>
  <si>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</si>
  <si>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</si>
  <si>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</si>
  <si>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</si>
  <si>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</si>
  <si>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</si>
  <si>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</si>
  <si>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</si>
  <si>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</si>
  <si>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</si>
  <si>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</si>
  <si>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</si>
  <si>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</si>
  <si>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</si>
  <si>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</si>
  <si>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</si>
  <si>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</si>
  <si>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</si>
  <si>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</si>
  <si>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</si>
  <si>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</si>
  <si>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</si>
  <si>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</si>
  <si>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</si>
  <si>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</si>
  <si>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</si>
  <si>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</si>
  <si>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</si>
  <si>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</si>
  <si>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</si>
  <si>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</si>
  <si>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</si>
  <si>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</si>
  <si>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</si>
  <si>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</si>
  <si>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</si>
  <si>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</si>
  <si>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</si>
  <si>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</si>
  <si>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</si>
  <si>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</si>
  <si>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</si>
  <si>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</si>
  <si>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</si>
  <si>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</si>
  <si>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</si>
  <si>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</si>
  <si>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</si>
  <si>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</si>
  <si>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</si>
  <si>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</si>
  <si>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</si>
  <si>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</si>
  <si>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</si>
  <si>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</si>
  <si>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</si>
  <si>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</si>
  <si>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</si>
  <si>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</si>
  <si>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</si>
  <si>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</si>
  <si>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</si>
  <si>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</si>
  <si>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</si>
  <si>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</si>
  <si>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</si>
  <si>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</si>
  <si>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</si>
  <si>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</si>
  <si>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</si>
  <si>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</si>
  <si>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</si>
  <si>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</si>
  <si>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</si>
  <si>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</si>
  <si>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</si>
  <si>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</si>
  <si>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</si>
  <si>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</si>
  <si>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</si>
  <si>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</si>
  <si>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</si>
  <si>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</si>
  <si>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</si>
  <si>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</si>
  <si>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</si>
  <si>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</si>
  <si>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</si>
  <si>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</si>
  <si>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</si>
  <si>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</si>
  <si>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</si>
  <si>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</si>
  <si>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</si>
  <si>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</si>
  <si>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</si>
  <si>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</si>
  <si>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</si>
  <si>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</si>
  <si>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</si>
  <si>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</si>
  <si>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</si>
  <si>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</si>
  <si>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</si>
  <si>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</si>
  <si>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</si>
  <si>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</si>
  <si>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</si>
  <si>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</si>
  <si>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</si>
  <si>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</si>
  <si>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</si>
  <si>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</si>
  <si>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</si>
  <si>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</si>
  <si>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</si>
  <si>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</si>
  <si>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</si>
  <si>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</si>
  <si>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</si>
  <si>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</si>
  <si>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</si>
  <si>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</si>
  <si>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</si>
  <si>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</si>
  <si>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</si>
  <si>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</si>
  <si>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</si>
  <si>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</si>
  <si>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</si>
  <si>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</si>
  <si>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</si>
  <si>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</si>
  <si>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</si>
  <si>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</si>
  <si>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</si>
  <si>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</si>
  <si>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</si>
  <si>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</si>
  <si>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</si>
  <si>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</si>
  <si>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</si>
  <si>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</si>
  <si>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</si>
  <si>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</si>
  <si>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</si>
  <si>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</si>
  <si>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</si>
  <si>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</si>
  <si>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</si>
  <si>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</si>
  <si>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</si>
  <si>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</si>
  <si>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</si>
  <si>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</si>
  <si>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</si>
  <si>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</si>
  <si>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</si>
  <si>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</si>
  <si>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</si>
  <si>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</si>
  <si>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</si>
  <si>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</si>
  <si>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</si>
  <si>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</si>
  <si>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</si>
  <si>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</si>
  <si>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</si>
  <si>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</si>
  <si>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</si>
  <si>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</si>
  <si>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</si>
  <si>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</si>
  <si>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</si>
  <si>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</si>
  <si>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</si>
  <si>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</si>
  <si>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</si>
  <si>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</si>
  <si>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</si>
  <si>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</si>
  <si>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</si>
  <si>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</si>
  <si>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</si>
  <si>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</si>
  <si>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</si>
  <si>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</si>
  <si>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</si>
  <si>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</si>
  <si>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</si>
  <si>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</si>
  <si>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</si>
  <si>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</si>
  <si>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</si>
  <si>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</si>
  <si>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</si>
  <si>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</si>
  <si>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</si>
  <si>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</si>
  <si>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</si>
  <si>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</si>
  <si>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</si>
  <si>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</si>
  <si>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</si>
  <si>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</si>
  <si>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</si>
  <si>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</si>
  <si>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</si>
  <si>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</si>
  <si>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</si>
  <si>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</si>
  <si>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</si>
  <si>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</si>
  <si>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</si>
  <si>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</si>
  <si>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</si>
  <si>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</si>
  <si>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</si>
  <si>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</si>
  <si>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</si>
  <si>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</si>
  <si>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</si>
  <si>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</si>
  <si>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</si>
  <si>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</si>
  <si>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</si>
  <si>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</si>
  <si>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</si>
  <si>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</si>
  <si>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</si>
  <si>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</si>
  <si>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</si>
  <si>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</si>
  <si>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</si>
  <si>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</si>
  <si>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</si>
  <si>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</si>
  <si>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</si>
  <si>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</si>
  <si>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</si>
  <si>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</si>
  <si>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</si>
  <si>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</si>
  <si>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</si>
  <si>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</si>
  <si>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</si>
  <si>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</si>
  <si>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</si>
  <si>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</si>
  <si>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</si>
  <si>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</si>
  <si>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</si>
  <si>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</si>
  <si>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</si>
  <si>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</si>
  <si>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</si>
  <si>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</si>
  <si>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</si>
  <si>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</si>
  <si>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</si>
  <si>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</si>
  <si>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</si>
  <si>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</si>
  <si>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</si>
  <si>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</si>
  <si>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</si>
  <si>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</si>
  <si>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</si>
  <si>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</si>
  <si>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</si>
  <si>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</si>
  <si>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</si>
  <si>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</si>
  <si>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</si>
  <si>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</si>
  <si>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</si>
  <si>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</si>
  <si>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</si>
  <si>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</si>
  <si>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</si>
  <si>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</si>
  <si>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</si>
  <si>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</si>
  <si>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</si>
  <si>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</si>
  <si>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</si>
  <si>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</si>
  <si>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</si>
  <si>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</si>
  <si>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</si>
  <si>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</si>
  <si>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</si>
  <si>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</si>
  <si>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</si>
  <si>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</si>
  <si>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</si>
  <si>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</si>
  <si>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</si>
  <si>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</si>
  <si>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</si>
  <si>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</si>
  <si>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</si>
  <si>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</si>
  <si>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</si>
  <si>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</si>
  <si>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</si>
  <si>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</si>
  <si>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</si>
  <si>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</si>
  <si>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</si>
  <si>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</si>
  <si>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</si>
  <si>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</si>
  <si>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</si>
  <si>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</si>
  <si>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</si>
  <si>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</si>
  <si>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</si>
  <si>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</si>
  <si>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</si>
  <si>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</si>
  <si>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</si>
  <si>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</si>
  <si>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</si>
  <si>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</si>
  <si>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</si>
  <si>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</si>
  <si>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</si>
  <si>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</si>
  <si>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</si>
  <si>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</si>
  <si>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</si>
  <si>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</si>
  <si>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</si>
  <si>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</si>
  <si>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</si>
  <si>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</si>
  <si>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</si>
  <si>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</si>
  <si>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</si>
  <si>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</si>
  <si>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</si>
  <si>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</si>
  <si>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</si>
  <si>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</si>
  <si>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</si>
  <si>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</si>
  <si>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</si>
  <si>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</si>
  <si>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</si>
  <si>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</si>
  <si>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</si>
  <si>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</si>
  <si>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</si>
  <si>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</si>
  <si>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</si>
  <si>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</si>
  <si>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</si>
  <si>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</si>
  <si>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</si>
  <si>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</si>
  <si>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</si>
  <si>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</si>
  <si>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</si>
  <si>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</si>
  <si>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</si>
  <si>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</si>
  <si>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</si>
  <si>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</si>
  <si>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</si>
  <si>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</si>
  <si>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</si>
  <si>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</si>
  <si>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</si>
  <si>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</si>
  <si>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</si>
  <si>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</si>
  <si>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</si>
  <si>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</si>
  <si>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</si>
  <si>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</si>
  <si>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</si>
  <si>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</si>
  <si>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</si>
  <si>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</si>
  <si>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</si>
  <si>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</si>
  <si>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</si>
  <si>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</si>
  <si>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</si>
  <si>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</si>
  <si>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</si>
  <si>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</si>
  <si>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</si>
  <si>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</si>
  <si>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</si>
  <si>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</si>
  <si>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</si>
  <si>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</si>
  <si>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</si>
  <si>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</si>
  <si>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</si>
  <si>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</si>
  <si>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</si>
  <si>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</si>
  <si>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</si>
  <si>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</si>
  <si>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</si>
  <si>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</si>
  <si>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</si>
  <si>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</si>
  <si>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</si>
  <si>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</si>
  <si>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</si>
  <si>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</si>
  <si>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</si>
  <si>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</si>
  <si>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</si>
  <si>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</si>
  <si>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</si>
  <si>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</si>
  <si>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</si>
  <si>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</si>
  <si>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</si>
  <si>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</si>
  <si>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</si>
  <si>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</si>
  <si>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</si>
  <si>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</si>
  <si>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</si>
  <si>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</si>
  <si>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</si>
  <si>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</si>
  <si>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</si>
  <si>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</si>
  <si>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</si>
  <si>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</si>
  <si>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</si>
  <si>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</si>
  <si>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</si>
  <si>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</si>
  <si>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</si>
  <si>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</si>
  <si>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</si>
  <si>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</si>
  <si>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</si>
  <si>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</si>
  <si>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</si>
  <si>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</si>
  <si>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</si>
  <si>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</si>
  <si>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</si>
  <si>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</si>
  <si>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</si>
  <si>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</si>
  <si>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</si>
  <si>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</si>
  <si>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</si>
  <si>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</si>
  <si>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</si>
  <si>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</si>
  <si>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</si>
  <si>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</si>
  <si>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</si>
  <si>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</si>
  <si>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</si>
  <si>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</si>
  <si>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</si>
  <si>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</si>
  <si>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</si>
  <si>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</si>
  <si>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</si>
  <si>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</si>
  <si>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</si>
  <si>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</si>
  <si>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</si>
  <si>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</si>
  <si>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</si>
  <si>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</si>
  <si>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</si>
  <si>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</si>
  <si>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</si>
  <si>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</si>
  <si>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</si>
  <si>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</si>
  <si>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</si>
  <si>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</si>
  <si>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</si>
  <si>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</si>
  <si>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</si>
  <si>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</si>
  <si>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</si>
  <si>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</si>
  <si>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</si>
  <si>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</si>
  <si>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</si>
  <si>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</si>
  <si>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</si>
  <si>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</si>
  <si>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</si>
  <si>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</si>
  <si>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</si>
  <si>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</si>
  <si>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</si>
  <si>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</si>
  <si>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</si>
  <si>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</si>
  <si>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</si>
  <si>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</si>
  <si>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</si>
  <si>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</si>
  <si>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</si>
  <si>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</si>
  <si>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</si>
  <si>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</si>
  <si>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</si>
  <si>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</si>
  <si>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</si>
  <si>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</si>
  <si>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</si>
  <si>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</si>
  <si>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</si>
  <si>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</si>
  <si>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</si>
  <si>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</si>
  <si>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</si>
  <si>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</si>
  <si>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</si>
  <si>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</si>
  <si>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</si>
  <si>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</si>
  <si>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</si>
  <si>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</si>
  <si>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</si>
  <si>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</si>
  <si>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</si>
  <si>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</si>
  <si>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</si>
  <si>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</si>
  <si>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</si>
  <si>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</si>
  <si>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</si>
  <si>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</si>
  <si>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</si>
  <si>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</si>
  <si>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</si>
  <si>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</si>
  <si>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</si>
  <si>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</si>
  <si>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</si>
  <si>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</si>
  <si>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</si>
  <si>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</si>
  <si>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</si>
  <si>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</si>
  <si>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</si>
  <si>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</si>
  <si>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</si>
  <si>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</si>
  <si>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</si>
  <si>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</si>
  <si>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</si>
  <si>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</si>
  <si>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</si>
  <si>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</si>
  <si>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</si>
  <si>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</si>
  <si>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</si>
  <si>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</si>
  <si>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</si>
  <si>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</si>
  <si>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</si>
  <si>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</si>
  <si>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</si>
  <si>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</si>
  <si>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</si>
  <si>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</si>
  <si>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</si>
  <si>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</si>
  <si>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</si>
  <si>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</si>
  <si>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</si>
  <si>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</si>
  <si>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</si>
  <si>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</si>
  <si>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</si>
  <si>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</si>
  <si>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انتقال از ملت علی به ملت مریم</t>
  </si>
  <si>
    <t>قطره گوش مریم</t>
  </si>
  <si>
    <t>بن ملت مریم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</si>
  <si>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</si>
  <si>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</si>
  <si>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</si>
  <si>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</si>
  <si>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</si>
  <si>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</si>
  <si>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</si>
  <si>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</si>
  <si>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</si>
  <si>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</si>
  <si>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</si>
  <si>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</si>
  <si>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</si>
  <si>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</si>
  <si>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</si>
  <si>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</si>
  <si>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</si>
  <si>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</si>
  <si>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</si>
  <si>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</si>
  <si>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</si>
  <si>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</si>
  <si>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</si>
  <si>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</si>
  <si>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</si>
  <si>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</si>
  <si>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</si>
  <si>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</si>
  <si>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</si>
  <si>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</si>
  <si>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</si>
  <si>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</si>
  <si>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</si>
  <si>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</si>
  <si>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</si>
  <si>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</si>
  <si>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</si>
  <si>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</si>
  <si>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</si>
  <si>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</si>
  <si>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</si>
  <si>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</si>
  <si>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</si>
  <si>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</si>
  <si>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</si>
  <si>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</si>
  <si>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</si>
  <si>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</si>
  <si>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</si>
  <si>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</si>
  <si>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</si>
  <si>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</si>
  <si>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</si>
  <si>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</si>
  <si>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</si>
  <si>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</si>
  <si>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</si>
  <si>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</si>
  <si>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</si>
  <si>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</si>
  <si>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</si>
  <si>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</si>
  <si>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</si>
  <si>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</si>
  <si>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</si>
  <si>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</si>
  <si>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</si>
  <si>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</si>
  <si>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</si>
  <si>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</si>
  <si>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</si>
  <si>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</si>
  <si>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</si>
  <si>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</si>
  <si>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</si>
  <si>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</si>
  <si>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</si>
  <si>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</si>
  <si>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</si>
  <si>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</si>
  <si>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</si>
  <si>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</si>
  <si>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</si>
  <si>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</si>
  <si>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</si>
  <si>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</si>
  <si>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</si>
  <si>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</si>
  <si>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</si>
  <si>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</si>
  <si>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</si>
  <si>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</si>
  <si>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</si>
  <si>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</si>
  <si>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</si>
  <si>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</si>
  <si>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</si>
  <si>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</si>
  <si>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</si>
  <si>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</si>
  <si>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</si>
  <si>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</si>
  <si>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</si>
  <si>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</si>
  <si>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</si>
  <si>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</si>
  <si>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</si>
  <si>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</si>
  <si>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</si>
  <si>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</si>
  <si>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</si>
  <si>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</si>
  <si>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</si>
  <si>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</si>
  <si>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</si>
  <si>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</si>
  <si>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</si>
  <si>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</si>
  <si>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</si>
  <si>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</si>
  <si>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</si>
  <si>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</si>
  <si>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</si>
  <si>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</si>
  <si>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</si>
  <si>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</si>
  <si>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</si>
  <si>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</si>
  <si>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</si>
  <si>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</si>
  <si>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</si>
  <si>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</si>
  <si>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</si>
  <si>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</si>
  <si>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</si>
  <si>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</si>
  <si>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</si>
  <si>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</si>
  <si>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</si>
  <si>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</si>
  <si>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</si>
  <si>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</si>
  <si>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</si>
  <si>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</si>
  <si>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</si>
  <si>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</si>
  <si>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</si>
  <si>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</si>
  <si>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</si>
  <si>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</si>
  <si>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</si>
  <si>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</si>
  <si>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</si>
  <si>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</si>
  <si>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</si>
  <si>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سهم علی از فروش 55000 وغدیر 24/7</t>
  </si>
  <si>
    <t>ضرر خرید و فروش وغدیر حساب مریم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</si>
  <si>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</si>
  <si>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</si>
  <si>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</si>
  <si>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</si>
  <si>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</si>
  <si>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</si>
  <si>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</si>
  <si>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</si>
  <si>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</si>
  <si>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</si>
  <si>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</si>
  <si>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</si>
  <si>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</si>
  <si>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</si>
  <si>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</si>
  <si>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</si>
  <si>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</si>
  <si>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</si>
  <si>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</si>
  <si>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فروش 100000 تا وغدیر 29/7</t>
  </si>
  <si>
    <t>خرید و فروش 50000 تا وغدیر 30/7</t>
  </si>
  <si>
    <t>30/7/1397</t>
  </si>
  <si>
    <t>مانده فروش 10 عدد سکه مریم دست علی. 42.705 سکه ها رو فروختم. 29.2 به مهدی بابت بدهی فروش سهام دادم و 13 به حساب بورس مریم واریز کردم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</si>
  <si>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</si>
  <si>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</si>
  <si>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</si>
  <si>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</si>
  <si>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</si>
  <si>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حساب مریم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</si>
  <si>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</si>
  <si>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</si>
  <si>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</si>
  <si>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</si>
  <si>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</si>
  <si>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</si>
  <si>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</si>
  <si>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</si>
  <si>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</si>
  <si>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</si>
  <si>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</si>
  <si>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</si>
  <si>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</si>
  <si>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</si>
  <si>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</si>
  <si>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>وغدیر 48028 تا 192.1</t>
  </si>
  <si>
    <t>وبانک 4602 تا 313.7</t>
  </si>
  <si>
    <t>7/8/1397</t>
  </si>
  <si>
    <t>وبانک 1265 تا 314.8</t>
  </si>
  <si>
    <t xml:space="preserve">وبانک </t>
  </si>
  <si>
    <t>سهم علی خرید و فروش 50000 تا وغدیر 7/8</t>
  </si>
  <si>
    <t>وغدیر 44349 تا 214.57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</si>
  <si>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</si>
  <si>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</si>
  <si>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</si>
  <si>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</si>
  <si>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</si>
  <si>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</si>
  <si>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</si>
  <si>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</si>
  <si>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</si>
  <si>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</si>
  <si>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</si>
  <si>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</si>
  <si>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</si>
  <si>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</si>
  <si>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</si>
  <si>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</si>
  <si>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</si>
  <si>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</si>
  <si>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</si>
  <si>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</si>
  <si>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</si>
  <si>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</si>
  <si>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</si>
  <si>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</si>
  <si>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</si>
  <si>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</si>
  <si>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</si>
  <si>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</si>
  <si>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</si>
  <si>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</si>
  <si>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</si>
  <si>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</si>
  <si>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</si>
  <si>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</si>
  <si>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</si>
  <si>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</si>
  <si>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</si>
  <si>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</si>
  <si>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</si>
  <si>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</si>
  <si>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</si>
  <si>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</si>
  <si>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</si>
  <si>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</si>
  <si>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</si>
  <si>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</si>
  <si>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</si>
  <si>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</si>
  <si>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</si>
  <si>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</si>
  <si>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</si>
  <si>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</si>
  <si>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</si>
  <si>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</si>
  <si>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</si>
  <si>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</si>
  <si>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</si>
  <si>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</si>
  <si>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</si>
  <si>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</si>
  <si>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</si>
  <si>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</si>
  <si>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</si>
  <si>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21/8/1397</t>
  </si>
  <si>
    <t>از بورس به ملت علی 21/8</t>
  </si>
  <si>
    <t>19/8/1397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</si>
  <si>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</si>
  <si>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</si>
  <si>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</si>
  <si>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</si>
  <si>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</si>
  <si>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</si>
  <si>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</si>
  <si>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</si>
  <si>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</si>
  <si>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</si>
  <si>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</si>
  <si>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</si>
  <si>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</si>
  <si>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</si>
  <si>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</si>
  <si>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</si>
  <si>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</si>
  <si>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</si>
  <si>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</si>
  <si>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</si>
  <si>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</si>
  <si>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</si>
  <si>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</si>
  <si>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</si>
  <si>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</si>
  <si>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</si>
  <si>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</si>
  <si>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</si>
  <si>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</si>
  <si>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</si>
  <si>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</si>
  <si>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</si>
  <si>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ضرر فروش 87152 تا وصنعت 26/8</t>
  </si>
  <si>
    <t>شاراک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</si>
  <si>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</si>
  <si>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</si>
  <si>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</si>
  <si>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</si>
  <si>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اینترنت برای مریم</t>
  </si>
  <si>
    <t>27/8/1397</t>
  </si>
  <si>
    <t>وغدیر 10000 تا 196.2</t>
  </si>
  <si>
    <t>28/8/1397</t>
  </si>
  <si>
    <t>سهم علی از فروش 3924 تا شاراک حساب سارا 28/8</t>
  </si>
  <si>
    <t>سهم علی 3657 تا وغدیر 28/8</t>
  </si>
  <si>
    <t>زاگرس 357 تا 5560.3</t>
  </si>
  <si>
    <t>سهم علی از 180 تا زاگرس 28/8</t>
  </si>
  <si>
    <t>سهم علی از 155 تا زپارس حساب علی</t>
  </si>
  <si>
    <t>سهم علی از 155 تا زپارس حساب مریم</t>
  </si>
  <si>
    <t>از ملت سارا به ملت علی</t>
  </si>
  <si>
    <t>سهم مریم از زیتون</t>
  </si>
  <si>
    <t>سهم علی 501 تا شفن حساب مریم 29/8</t>
  </si>
  <si>
    <t>سهم علی 307 تا شفن حساب سارا 29/8</t>
  </si>
  <si>
    <t>نوسانگیری 20408 تا وصنعت 29/8</t>
  </si>
  <si>
    <t>از ملت علی به بورس علی 30/8</t>
  </si>
  <si>
    <t>30/8/1397</t>
  </si>
  <si>
    <t>ضرر فروش 5187 تا وصنعت علی 30/8</t>
  </si>
  <si>
    <t>ضرر فروش 21179 تا وصنعت مریم 30/8</t>
  </si>
  <si>
    <t>زاگرس 270 تا 5474</t>
  </si>
  <si>
    <t>زاگرس 409 تا 5349</t>
  </si>
  <si>
    <t>هدف خرید</t>
  </si>
  <si>
    <t>30/9/1397</t>
  </si>
  <si>
    <t>سود آبان 97</t>
  </si>
  <si>
    <t>3/9/1397</t>
  </si>
  <si>
    <t>وغدیر سارا</t>
  </si>
  <si>
    <t>5/9/1397</t>
  </si>
  <si>
    <t>وغدیر 10000 تا 177.5</t>
  </si>
  <si>
    <t>6/9/1397</t>
  </si>
  <si>
    <t>6/91397</t>
  </si>
  <si>
    <t>10/9/1397</t>
  </si>
  <si>
    <t>7/9/1397</t>
  </si>
  <si>
    <t>زاگرس 390 تا 4861</t>
  </si>
  <si>
    <t>بدهی وام انصار 4 قسط 7/9/97</t>
  </si>
  <si>
    <t>بدهی وام بانک ملی 3 قسط 1/9/97</t>
  </si>
  <si>
    <t>بدهی وام بانک ملی 2 قسط 5/9/97</t>
  </si>
  <si>
    <t>بدهی به حاج خانوم 9/9/97</t>
  </si>
  <si>
    <t>8/9/1397</t>
  </si>
  <si>
    <t xml:space="preserve">از ملت علی </t>
  </si>
  <si>
    <t>از ملت علی که سارا واریز کرده بود از طلب حاج خانوم</t>
  </si>
  <si>
    <t>فرد</t>
  </si>
  <si>
    <t>حاج خانوم</t>
  </si>
  <si>
    <t xml:space="preserve">علی </t>
  </si>
  <si>
    <t>مجموع سهام حساب مریم</t>
  </si>
  <si>
    <t>مجموع سهام حساب سارا</t>
  </si>
  <si>
    <t>مجموع سهام حساب علی و داریوش</t>
  </si>
  <si>
    <t>پول نقد حساب علی</t>
  </si>
  <si>
    <t>پول نقد حساب مریم</t>
  </si>
  <si>
    <t>پول نقد حساب سارا</t>
  </si>
  <si>
    <t>پول نقد بورس مریم</t>
  </si>
  <si>
    <t>پول نقد بورس علی</t>
  </si>
  <si>
    <t>پول نقد بورس سارا</t>
  </si>
  <si>
    <t>ارزش بازار صندوق</t>
  </si>
  <si>
    <t>9/9/1397</t>
  </si>
  <si>
    <t>مبلغ سود</t>
  </si>
  <si>
    <t>سهم سود</t>
  </si>
  <si>
    <t>ضریب سبد گردان</t>
  </si>
  <si>
    <t xml:space="preserve">ضریب باقیمانده </t>
  </si>
  <si>
    <t>مبلغ جدید</t>
  </si>
  <si>
    <t>تعداد سهام صندوق</t>
  </si>
  <si>
    <t>پول نقد صندوق مسکن سارا</t>
  </si>
  <si>
    <t>ارزش بازار</t>
  </si>
  <si>
    <t>طلب از مریم سهام</t>
  </si>
  <si>
    <t>تمام سهم ها در حساب علی، سارا و مریم متعلق به مریم است و در عوض مریم تعدادی سهم از صندوق تشکیل شده را به علی، سارا و حاج خانوم بدهکار است. مبلغ بدهی با توجه به قیمت سبد سهام مشخص میشود</t>
  </si>
  <si>
    <t>در صورت فروش سهام سود بدست آمده متناسب با سهم هر نفر تقسیم میشود. البته 25 درصد سود متعلق به علی بابت سبدگردانی میباشد</t>
  </si>
  <si>
    <t>بدهی به مریم دستی</t>
  </si>
  <si>
    <t>از 10/9 به بعد</t>
  </si>
  <si>
    <t xml:space="preserve">وغدیر 7012 تا 192.2 </t>
  </si>
  <si>
    <t xml:space="preserve">وغدیر 5664 تا 184.5 </t>
  </si>
  <si>
    <t>به هاجر رسول زاده</t>
  </si>
  <si>
    <t>از مسکن سارا به هاجر رسول زاده بایت صندوق علی 10/9</t>
  </si>
  <si>
    <t>از کارت سارا از عابربانک 10/9</t>
  </si>
  <si>
    <t>از ملت مریم  10/9</t>
  </si>
  <si>
    <t>دو به هاجر رسول زاده 2 به بورس علی و 40 از عابربانک</t>
  </si>
  <si>
    <t>دو از مسکن سارا و 450 از ملت علی</t>
  </si>
  <si>
    <t>از ملت علی حواله پایا 10/9/97</t>
  </si>
  <si>
    <t>طلب از داریوش 10114 تا وغدیر 21/7/97</t>
  </si>
  <si>
    <t>وغدیر 9552 تا 190.3 (انتقالی از حساب داریوش)</t>
  </si>
  <si>
    <t>11/9/1397</t>
  </si>
  <si>
    <t>تعداد واحد سرمایه گذاری</t>
  </si>
  <si>
    <t xml:space="preserve">قیمت </t>
  </si>
  <si>
    <t>nav</t>
  </si>
  <si>
    <t>تعداد سهم</t>
  </si>
  <si>
    <t>مجموع سرمایه گذاری</t>
  </si>
  <si>
    <t>فروش 5492 تا وغدیر حساب داریوش 917351 تومن</t>
  </si>
  <si>
    <t>فروش 9552 تا وغدیر در حساب داریوش 1648594 تومن</t>
  </si>
  <si>
    <t>وغدیر 5492 تا 190.3 ( انتقالی از حساب داریوش)</t>
  </si>
  <si>
    <t>12/9/1397</t>
  </si>
  <si>
    <t>سکه9912 تعداد 10 قیمت 396500</t>
  </si>
  <si>
    <t>دو از ملت علی 548 داریوش و 100 مسکن سارا</t>
  </si>
  <si>
    <t>از ملت علی به بورس علی 13/9</t>
  </si>
  <si>
    <t>خرید از مسکن سارا 13/9</t>
  </si>
  <si>
    <t>از هاجر رسول زاده به ملت علی 13/9</t>
  </si>
  <si>
    <t>از ملت علی به مسکن سارا 13/9</t>
  </si>
  <si>
    <t>مبلغ پرداخت شده</t>
  </si>
  <si>
    <t>حذف سفارش فروش همه سهمها غیر از وغدیر</t>
  </si>
  <si>
    <t>14/9/1397</t>
  </si>
  <si>
    <t>فروش سهام و خرید سکه</t>
  </si>
  <si>
    <t>15/9/1397</t>
  </si>
  <si>
    <t>از ملت علی ومهدی و داریوش و داود</t>
  </si>
  <si>
    <t>16/9/1397</t>
  </si>
  <si>
    <t>به دارایی خودم در صندوق اضافه کردم و از پول مریم در مسکن سارا کم کردم</t>
  </si>
  <si>
    <t>17/9/1397</t>
  </si>
  <si>
    <t>مبلغ 41000 تومن نوسانگیری</t>
  </si>
  <si>
    <t>18/9/1397</t>
  </si>
  <si>
    <t>سکه9912 تعداد 10 قیمت 391500</t>
  </si>
  <si>
    <t>سکه9912 تعداد 10 قیمت 402000</t>
  </si>
  <si>
    <t>مبلغ 30000 تومن نوسانگیری</t>
  </si>
  <si>
    <t>مریم تسویه کرد</t>
  </si>
  <si>
    <t>پول اس ام اس</t>
  </si>
  <si>
    <t>19/9/1397</t>
  </si>
  <si>
    <t>بدهی به مهدی19/9/1397</t>
  </si>
  <si>
    <t>سکه9912 تعداد 10 قیمت 382100</t>
  </si>
  <si>
    <t>قبل از مجمع ورود سنگین به شاراک گزارش 9 ماهه احتمالا 5/11 بیاد</t>
  </si>
  <si>
    <t>تبدیل تمام سهمهای جزیی به وغدیر و یا سکه یا شاراک</t>
  </si>
  <si>
    <t>پول نقد دست علی</t>
  </si>
  <si>
    <t>از مسکن سارا به علی تعلق گرفت</t>
  </si>
  <si>
    <t>طلای لوتوس</t>
  </si>
  <si>
    <t>طلای لوتوس 271 تا 2850</t>
  </si>
  <si>
    <t>21/9/1397</t>
  </si>
  <si>
    <t>فروش 1000 تا وغدیر حساب داریوش 172900 تومن</t>
  </si>
  <si>
    <t>وغدیر 8705 تا 184.6 که 2715 تا حساب مریم  (1000 تا 1739 فروخته شده)</t>
  </si>
  <si>
    <t>وغدیر 4661 تا 184.6 حساب سارا (1000 تا 1739 فروخته شده)</t>
  </si>
  <si>
    <t>نقد به مریم دادم 21/9/97</t>
  </si>
  <si>
    <t>زکشت</t>
  </si>
  <si>
    <t>زکشت 80 تا 315</t>
  </si>
  <si>
    <t>زکشت 79 تا 315</t>
  </si>
  <si>
    <t>وغدیر 34000 تا میانگین خرید 172.2 (1000 تا در حساب سارا فروختم 1759 و 3000 تای دیگر را 1739 فروختم)</t>
  </si>
  <si>
    <t>22/9/1397</t>
  </si>
  <si>
    <t>24/9/1397</t>
  </si>
  <si>
    <t>وغدیر 10000 تا متوسط 168.5</t>
  </si>
  <si>
    <t>وغدیر 4000 تا متوسط 167.8</t>
  </si>
  <si>
    <t>سکه9912 تعداد 10 قیمت 361000</t>
  </si>
  <si>
    <t>به امیر قدس</t>
  </si>
  <si>
    <t>طلب از قدس</t>
  </si>
  <si>
    <t>25/9/1397</t>
  </si>
  <si>
    <t>وغدیر 800 تا 166.2</t>
  </si>
  <si>
    <t>وغدیر 604 تا 166.7</t>
  </si>
  <si>
    <t>وغدیر 644 تا 167</t>
  </si>
  <si>
    <t>بنزین و موز</t>
  </si>
  <si>
    <t>علی بنزین و موز 24/9</t>
  </si>
  <si>
    <t>نقد دست مریم</t>
  </si>
  <si>
    <t>به بورس سارا و خرید</t>
  </si>
  <si>
    <t>وغدیر 1094 تا 166.6</t>
  </si>
  <si>
    <t>وغدیر 1326 تا 166</t>
  </si>
  <si>
    <t>وغدیر 1328 تا 165.1</t>
  </si>
  <si>
    <t>وغدیر 1676 تا 165</t>
  </si>
  <si>
    <t>وغدیر 1000 تا 164.9</t>
  </si>
  <si>
    <t>وغدیر 2138 تا 165.7</t>
  </si>
  <si>
    <t>28/9/1397</t>
  </si>
  <si>
    <t>نسبت تبدیل وبانک به غدیر</t>
  </si>
  <si>
    <t>میانگین فروش</t>
  </si>
  <si>
    <t>27/9/1397</t>
  </si>
  <si>
    <t>مانده پیش علی از فروش 2 عدد سکه 26/9/97</t>
  </si>
  <si>
    <t>وغدیر 16820 تا 165.6 (با پول وبانک که 150000 تومن ضرر داشت)</t>
  </si>
  <si>
    <t>وغدیر 24243 تا 166.2 (با پول وبانک که 250000 تومن ضرر داشت)</t>
  </si>
  <si>
    <t>وغدیر 1000 تا 165.1</t>
  </si>
  <si>
    <t>سکه9912 تعداد 10 قیمت 389000</t>
  </si>
  <si>
    <t>خرید علی تره بار</t>
  </si>
  <si>
    <t>خرید علی از تره بار</t>
  </si>
  <si>
    <t>وبانک 22637 تا 313</t>
  </si>
  <si>
    <t xml:space="preserve">وغدیر6362 تا 160.2 </t>
  </si>
  <si>
    <t>27/9/97</t>
  </si>
  <si>
    <t>26/9/97</t>
  </si>
  <si>
    <t>28/9/97</t>
  </si>
  <si>
    <t>شاراک 6431 تا 4418</t>
  </si>
  <si>
    <t>مبلغ 31299 تومن نوسانگیری</t>
  </si>
  <si>
    <t>نسبت تبدیل سکه به وغدیر</t>
  </si>
  <si>
    <t>سبد پیشنهادی برای بررسی نسبی</t>
  </si>
  <si>
    <t>شسپا</t>
  </si>
  <si>
    <t>اتکای</t>
  </si>
  <si>
    <t>شفن</t>
  </si>
  <si>
    <t>شخارک</t>
  </si>
  <si>
    <t>پردیس</t>
  </si>
  <si>
    <t>وبوعلی</t>
  </si>
  <si>
    <t>وسکاب</t>
  </si>
  <si>
    <t>وتوسم</t>
  </si>
  <si>
    <t>نماد</t>
  </si>
  <si>
    <t>3/5/1395</t>
  </si>
  <si>
    <t>a</t>
  </si>
  <si>
    <t>b</t>
  </si>
  <si>
    <t>c</t>
  </si>
  <si>
    <t>a&gt;b</t>
  </si>
  <si>
    <t>b&gt;c</t>
  </si>
  <si>
    <t>c&gt;b</t>
  </si>
  <si>
    <t>c&gt;a</t>
  </si>
  <si>
    <t>a=c</t>
  </si>
  <si>
    <t>نسبت</t>
  </si>
  <si>
    <t>1/10/1397</t>
  </si>
  <si>
    <t>1/10/1398</t>
  </si>
  <si>
    <t>خرید و نقد از کارت سارا 1/10/97</t>
  </si>
  <si>
    <t>166.6  171.9-191.5</t>
  </si>
  <si>
    <t>وغدیر 29260 تا 161.4</t>
  </si>
  <si>
    <t>2/10/1397</t>
  </si>
  <si>
    <t>شخارک 29 تا 3544.7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</si>
</sst>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  <font>
      <sz val="11"/>
      <color rgb="FF26282A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1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33" borderId="1" xfId="0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34" borderId="1" xfId="0" applyFill="1" applyBorder="1" applyAlignment="1">
      <alignment horizontal="center"/>
    </xf>
    <xf numFmtId="0" fontId="13" fillId="0" borderId="0" xfId="0" applyFont="1"/>
    <xf numFmtId="0" fontId="0" fillId="0" borderId="0" xfId="0" applyBorder="1" applyAlignment="1">
      <alignment horizontal="center" vertical="center"/>
    </xf>
    <xf numFmtId="0" fontId="0" fillId="33" borderId="1" xfId="0" applyFill="1" applyBorder="1"/>
    <xf numFmtId="164" fontId="0" fillId="33" borderId="1" xfId="0" applyNumberFormat="1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32" borderId="1" xfId="0" applyFill="1" applyBorder="1" applyAlignment="1">
      <alignment horizontal="center"/>
    </xf>
    <xf numFmtId="0" fontId="0" fillId="32" borderId="6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Fill="1" applyBorder="1" applyAlignment="1">
      <alignment horizontal="center"/>
    </xf>
    <xf numFmtId="0" fontId="0" fillId="0" borderId="7" xfId="0" applyBorder="1"/>
    <xf numFmtId="164" fontId="0" fillId="0" borderId="1" xfId="0" applyNumberFormat="1" applyFill="1" applyBorder="1" applyAlignment="1">
      <alignment horizontal="center" wrapText="1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89" t="s">
        <v>4257</v>
      </c>
      <c r="B1" t="s">
        <v>4258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1034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1040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1079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1165</v>
      </c>
      <c r="B16" s="113">
        <v>-694356</v>
      </c>
      <c r="C16" s="99" t="s">
        <v>1166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1177</v>
      </c>
      <c r="B17" s="113">
        <v>50000</v>
      </c>
      <c r="C17" s="99" t="s">
        <v>1191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3674</v>
      </c>
      <c r="B18" s="113">
        <v>1047</v>
      </c>
      <c r="C18" s="99" t="s">
        <v>3677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3710</v>
      </c>
      <c r="B19" s="113">
        <v>785500</v>
      </c>
      <c r="C19" s="99" t="s">
        <v>3714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3806</v>
      </c>
      <c r="B20" s="113">
        <v>-57500</v>
      </c>
      <c r="C20" s="99" t="s">
        <v>1019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3806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3918</v>
      </c>
      <c r="B22" s="113">
        <v>-85000</v>
      </c>
      <c r="C22" s="99" t="s">
        <v>3929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3897</v>
      </c>
      <c r="B23" s="113">
        <v>-180000</v>
      </c>
      <c r="C23" s="99" t="s">
        <v>3929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3897</v>
      </c>
      <c r="B24" s="113">
        <v>-69000</v>
      </c>
      <c r="C24" s="99" t="s">
        <v>3929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3914</v>
      </c>
      <c r="B25" s="113">
        <v>-8600</v>
      </c>
      <c r="C25" s="99" t="s">
        <v>3929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3914</v>
      </c>
      <c r="B26" s="113">
        <v>-40000</v>
      </c>
      <c r="C26" s="99" t="s">
        <v>3929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3914</v>
      </c>
      <c r="B27" s="113">
        <v>-92500</v>
      </c>
      <c r="C27" s="99" t="s">
        <v>3929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3914</v>
      </c>
      <c r="B28" s="113">
        <v>-47000</v>
      </c>
      <c r="C28" s="99" t="s">
        <v>3929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3919</v>
      </c>
      <c r="B29" s="113">
        <v>-77500</v>
      </c>
      <c r="C29" s="99" t="s">
        <v>3929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3919</v>
      </c>
      <c r="B30" s="113">
        <v>-57000</v>
      </c>
      <c r="C30" s="99" t="s">
        <v>3929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3919</v>
      </c>
      <c r="B31" s="113">
        <v>-45000</v>
      </c>
      <c r="C31" s="99" t="s">
        <v>3929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3919</v>
      </c>
      <c r="B32" s="113">
        <v>-30000</v>
      </c>
      <c r="C32" s="99" t="s">
        <v>3929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3928</v>
      </c>
      <c r="B33" s="113">
        <v>1000000</v>
      </c>
      <c r="C33" s="99" t="s">
        <v>3893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3933</v>
      </c>
      <c r="B34" s="113">
        <v>-79700</v>
      </c>
      <c r="C34" s="99" t="s">
        <v>3929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4027</v>
      </c>
      <c r="B35" s="113">
        <v>-1187</v>
      </c>
      <c r="C35" s="99" t="s">
        <v>3929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3970</v>
      </c>
      <c r="B36" s="113">
        <v>-55262</v>
      </c>
      <c r="C36" s="99" t="s">
        <v>3929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3972</v>
      </c>
      <c r="B37" s="113">
        <v>-15700</v>
      </c>
      <c r="C37" s="99" t="s">
        <v>3929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4028</v>
      </c>
      <c r="B38" s="113">
        <v>-176000</v>
      </c>
      <c r="C38" s="99" t="s">
        <v>3929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3994</v>
      </c>
      <c r="B39" s="113">
        <v>-68600</v>
      </c>
      <c r="C39" s="99" t="s">
        <v>3929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4026</v>
      </c>
      <c r="B40" s="113">
        <v>-3540</v>
      </c>
      <c r="C40" s="99" t="s">
        <v>3929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4024</v>
      </c>
      <c r="B41" s="113">
        <v>-315101</v>
      </c>
      <c r="C41" s="99" t="s">
        <v>4025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3689</v>
      </c>
      <c r="B42" s="113">
        <v>-416000</v>
      </c>
      <c r="C42" s="99" t="s">
        <v>4034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1040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1103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1040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1103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1103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1103</v>
      </c>
      <c r="I45" s="11">
        <v>231000</v>
      </c>
      <c r="J45" s="11" t="s">
        <v>1102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0"/>
  <sheetViews>
    <sheetView workbookViewId="0">
      <selection activeCell="E50" sqref="E50"/>
    </sheetView>
  </sheetViews>
  <sheetFormatPr defaultRowHeight="15"/>
  <cols>
    <col min="1" max="1" width="9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43.57031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4452</v>
      </c>
      <c r="B2" s="113">
        <f>'آذر 97'!B32</f>
        <v>5755</v>
      </c>
      <c r="C2" s="1">
        <f>'آذر 97'!C32</f>
        <v>0</v>
      </c>
      <c r="D2" s="113">
        <f>B2-C2</f>
        <v>5755</v>
      </c>
      <c r="E2" s="169" t="s">
        <v>59</v>
      </c>
      <c r="F2" s="96">
        <v>30</v>
      </c>
      <c r="G2" s="96">
        <f>B2*F2</f>
        <v>172650</v>
      </c>
      <c r="H2" s="96">
        <f>C2*F2</f>
        <v>0</v>
      </c>
      <c r="I2" s="96">
        <f>D2*F2</f>
        <v>172650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4618</v>
      </c>
      <c r="B3" s="18">
        <v>220000</v>
      </c>
      <c r="C3" s="18">
        <v>0</v>
      </c>
      <c r="D3" s="113">
        <f t="shared" ref="D3:D30" si="0">B3-C3</f>
        <v>220000</v>
      </c>
      <c r="E3" s="20" t="s">
        <v>3893</v>
      </c>
      <c r="F3" s="96">
        <v>29</v>
      </c>
      <c r="G3" s="96">
        <f t="shared" ref="G3:G30" si="1">B3*F3</f>
        <v>6380000</v>
      </c>
      <c r="H3" s="96">
        <f t="shared" ref="H3:H30" si="2">C3*F3</f>
        <v>0</v>
      </c>
      <c r="I3" s="96">
        <f t="shared" ref="I3:I30" si="3">D3*F3</f>
        <v>6380000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4618</v>
      </c>
      <c r="B4" s="18">
        <v>-109390</v>
      </c>
      <c r="C4" s="18">
        <v>0</v>
      </c>
      <c r="D4" s="113">
        <f t="shared" si="0"/>
        <v>-109390</v>
      </c>
      <c r="E4" s="99" t="s">
        <v>452</v>
      </c>
      <c r="F4" s="96">
        <v>29</v>
      </c>
      <c r="G4" s="96">
        <f t="shared" si="1"/>
        <v>-3172310</v>
      </c>
      <c r="H4" s="96">
        <f t="shared" si="2"/>
        <v>0</v>
      </c>
      <c r="I4" s="96">
        <f t="shared" si="3"/>
        <v>-3172310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4461</v>
      </c>
      <c r="B5" s="18"/>
      <c r="C5" s="18"/>
      <c r="D5" s="113">
        <f t="shared" si="0"/>
        <v>0</v>
      </c>
      <c r="E5" s="20"/>
      <c r="F5" s="96">
        <v>23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4467</v>
      </c>
      <c r="B6" s="18"/>
      <c r="C6" s="18"/>
      <c r="D6" s="113">
        <f t="shared" si="0"/>
        <v>0</v>
      </c>
      <c r="E6" s="19"/>
      <c r="F6" s="96">
        <v>22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4460</v>
      </c>
      <c r="B7" s="18"/>
      <c r="C7" s="18"/>
      <c r="D7" s="113">
        <f t="shared" si="0"/>
        <v>0</v>
      </c>
      <c r="E7" s="19"/>
      <c r="F7" s="96">
        <v>21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4460</v>
      </c>
      <c r="B8" s="18"/>
      <c r="C8" s="18"/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4460</v>
      </c>
      <c r="B9" s="18"/>
      <c r="C9" s="18"/>
      <c r="D9" s="113">
        <f t="shared" si="0"/>
        <v>0</v>
      </c>
      <c r="E9" s="21"/>
      <c r="F9" s="96">
        <v>21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4460</v>
      </c>
      <c r="B10" s="18"/>
      <c r="C10" s="18"/>
      <c r="D10" s="113">
        <f t="shared" si="0"/>
        <v>0</v>
      </c>
      <c r="E10" s="19"/>
      <c r="F10" s="96">
        <v>20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4508</v>
      </c>
      <c r="B11" s="18"/>
      <c r="C11" s="18"/>
      <c r="D11" s="113">
        <f t="shared" si="0"/>
        <v>0</v>
      </c>
      <c r="E11" s="19"/>
      <c r="F11" s="96">
        <v>19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4508</v>
      </c>
      <c r="B12" s="18"/>
      <c r="C12" s="18"/>
      <c r="D12" s="113">
        <f t="shared" si="0"/>
        <v>0</v>
      </c>
      <c r="E12" s="20"/>
      <c r="F12" s="96">
        <v>19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4517</v>
      </c>
      <c r="B13" s="18"/>
      <c r="C13" s="18"/>
      <c r="D13" s="113">
        <f t="shared" si="0"/>
        <v>0</v>
      </c>
      <c r="E13" s="20"/>
      <c r="F13" s="96">
        <v>19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4235</v>
      </c>
      <c r="B14" s="18"/>
      <c r="C14" s="18"/>
      <c r="D14" s="113">
        <f t="shared" si="0"/>
        <v>0</v>
      </c>
      <c r="E14" s="20"/>
      <c r="F14" s="96">
        <v>18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4235</v>
      </c>
      <c r="B15" s="18"/>
      <c r="C15" s="18"/>
      <c r="D15" s="113">
        <f t="shared" si="0"/>
        <v>0</v>
      </c>
      <c r="E15" s="20"/>
      <c r="F15" s="96">
        <v>17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4528</v>
      </c>
      <c r="B16" s="18"/>
      <c r="C16" s="18"/>
      <c r="D16" s="113">
        <f t="shared" si="0"/>
        <v>0</v>
      </c>
      <c r="E16" s="20"/>
      <c r="F16" s="96">
        <v>15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4530</v>
      </c>
      <c r="B17" s="18"/>
      <c r="C17" s="18"/>
      <c r="D17" s="113">
        <f t="shared" si="0"/>
        <v>0</v>
      </c>
      <c r="E17" s="20"/>
      <c r="F17" s="96">
        <v>14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4532</v>
      </c>
      <c r="B18" s="18"/>
      <c r="C18" s="18"/>
      <c r="D18" s="113">
        <f t="shared" si="0"/>
        <v>0</v>
      </c>
      <c r="E18" s="20"/>
      <c r="F18" s="96">
        <v>14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4534</v>
      </c>
      <c r="B19" s="18"/>
      <c r="C19" s="18"/>
      <c r="D19" s="113">
        <f t="shared" si="0"/>
        <v>0</v>
      </c>
      <c r="E19" s="20"/>
      <c r="F19" s="96">
        <v>13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4534</v>
      </c>
      <c r="B20" s="18"/>
      <c r="C20" s="18"/>
      <c r="D20" s="113">
        <f t="shared" si="0"/>
        <v>0</v>
      </c>
      <c r="E20" s="19"/>
      <c r="F20" s="96">
        <v>13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4534</v>
      </c>
      <c r="B21" s="18"/>
      <c r="C21" s="18"/>
      <c r="D21" s="113">
        <f t="shared" si="0"/>
        <v>0</v>
      </c>
      <c r="E21" s="19"/>
      <c r="F21" s="96">
        <v>13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4540</v>
      </c>
      <c r="B22" s="18"/>
      <c r="C22" s="18"/>
      <c r="D22" s="113">
        <f t="shared" si="0"/>
        <v>0</v>
      </c>
      <c r="E22" s="19"/>
      <c r="F22" s="96">
        <v>12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4558</v>
      </c>
      <c r="B23" s="18"/>
      <c r="C23" s="18"/>
      <c r="D23" s="113">
        <f t="shared" si="0"/>
        <v>0</v>
      </c>
      <c r="E23" s="19"/>
      <c r="F23" s="96">
        <v>8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4559</v>
      </c>
      <c r="B24" s="18"/>
      <c r="C24" s="18"/>
      <c r="D24" s="113">
        <f t="shared" si="0"/>
        <v>0</v>
      </c>
      <c r="E24" s="19"/>
      <c r="F24" s="96">
        <v>7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4559</v>
      </c>
      <c r="B25" s="18"/>
      <c r="C25" s="18"/>
      <c r="D25" s="113">
        <f t="shared" si="0"/>
        <v>0</v>
      </c>
      <c r="E25" s="19"/>
      <c r="F25" s="96">
        <v>7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9" t="s">
        <v>4559</v>
      </c>
      <c r="B26" s="18"/>
      <c r="C26" s="18"/>
      <c r="D26" s="113">
        <f t="shared" si="0"/>
        <v>0</v>
      </c>
      <c r="E26" s="19"/>
      <c r="F26" s="96">
        <v>7</v>
      </c>
      <c r="G26" s="96">
        <f t="shared" si="1"/>
        <v>0</v>
      </c>
      <c r="H26" s="96">
        <f t="shared" si="2"/>
        <v>0</v>
      </c>
      <c r="I26" s="96">
        <f t="shared" si="3"/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9" t="s">
        <v>4565</v>
      </c>
      <c r="B27" s="18"/>
      <c r="C27" s="18"/>
      <c r="D27" s="113">
        <f t="shared" si="0"/>
        <v>0</v>
      </c>
      <c r="E27" s="19"/>
      <c r="F27" s="96">
        <v>6</v>
      </c>
      <c r="G27" s="96">
        <f t="shared" si="1"/>
        <v>0</v>
      </c>
      <c r="H27" s="96">
        <f t="shared" si="2"/>
        <v>0</v>
      </c>
      <c r="I27" s="96">
        <f t="shared" si="3"/>
        <v>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19" t="s">
        <v>4582</v>
      </c>
      <c r="B28" s="18"/>
      <c r="C28" s="18"/>
      <c r="D28" s="113">
        <f t="shared" si="0"/>
        <v>0</v>
      </c>
      <c r="E28" s="19"/>
      <c r="F28" s="96">
        <v>3</v>
      </c>
      <c r="G28" s="96">
        <f t="shared" si="1"/>
        <v>0</v>
      </c>
      <c r="H28" s="96">
        <f t="shared" si="2"/>
        <v>0</v>
      </c>
      <c r="I28" s="96">
        <f t="shared" si="3"/>
        <v>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19" t="s">
        <v>4582</v>
      </c>
      <c r="B29" s="18"/>
      <c r="C29" s="18"/>
      <c r="D29" s="113">
        <f t="shared" si="0"/>
        <v>0</v>
      </c>
      <c r="E29" s="19"/>
      <c r="F29" s="96">
        <v>3</v>
      </c>
      <c r="G29" s="96">
        <f t="shared" si="1"/>
        <v>0</v>
      </c>
      <c r="H29" s="96">
        <f t="shared" si="2"/>
        <v>0</v>
      </c>
      <c r="I29" s="96">
        <f t="shared" si="3"/>
        <v>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19" t="s">
        <v>4582</v>
      </c>
      <c r="B30" s="18"/>
      <c r="C30" s="18"/>
      <c r="D30" s="113">
        <f t="shared" si="0"/>
        <v>0</v>
      </c>
      <c r="E30" s="19"/>
      <c r="F30" s="96">
        <v>3</v>
      </c>
      <c r="G30" s="96">
        <f t="shared" si="1"/>
        <v>0</v>
      </c>
      <c r="H30" s="96">
        <f t="shared" si="2"/>
        <v>0</v>
      </c>
      <c r="I30" s="96">
        <f t="shared" si="3"/>
        <v>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169" t="s">
        <v>4172</v>
      </c>
      <c r="B31" s="169"/>
      <c r="C31" s="169">
        <v>0</v>
      </c>
      <c r="D31" s="169">
        <f t="shared" ref="D31" si="4">B31-C31</f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169" t="s">
        <v>6</v>
      </c>
      <c r="B32" s="113">
        <f>SUM(B2:B31)</f>
        <v>116365</v>
      </c>
      <c r="C32" s="113">
        <f>SUM(C2:C31)</f>
        <v>0</v>
      </c>
      <c r="D32" s="113">
        <f>SUM(D2:D31)</f>
        <v>116365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96"/>
      <c r="E33" s="96"/>
      <c r="F33" s="96"/>
      <c r="G33" s="18">
        <f>SUM(G2:G31)</f>
        <v>3380340</v>
      </c>
      <c r="H33" s="18">
        <f>SUM(H2:H31)</f>
        <v>0</v>
      </c>
      <c r="I33" s="18">
        <f>SUM(I2:I31)</f>
        <v>3380340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 t="s">
        <v>25</v>
      </c>
      <c r="D37" s="96"/>
      <c r="E37" s="96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 ht="19.5" customHeight="1">
      <c r="A38" s="96"/>
      <c r="B38" s="96"/>
      <c r="C38" s="96"/>
      <c r="D38" s="18">
        <v>2909349</v>
      </c>
      <c r="E38" s="96" t="s">
        <v>95</v>
      </c>
      <c r="F38" s="96"/>
      <c r="G38" s="18">
        <v>600</v>
      </c>
      <c r="H38" s="18">
        <f>G38*H33/G33</f>
        <v>0</v>
      </c>
      <c r="I38" s="18">
        <f>G38*I33/G33</f>
        <v>600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 ht="20.25" customHeight="1">
      <c r="A39" s="96"/>
      <c r="B39" s="96"/>
      <c r="C39" s="96"/>
      <c r="D39" s="18">
        <v>59390</v>
      </c>
      <c r="E39" s="96" t="s">
        <v>4620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 ht="19.5" customHeight="1">
      <c r="A40" s="96"/>
      <c r="B40" s="114"/>
      <c r="C40" s="96"/>
      <c r="D40" s="18"/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 ht="24.75" customHeight="1">
      <c r="A41" s="96"/>
      <c r="B41" s="96"/>
      <c r="C41" s="96"/>
      <c r="D41" s="18"/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 ht="30.75" customHeight="1">
      <c r="A42" s="96"/>
      <c r="B42" s="96"/>
      <c r="C42" s="96"/>
      <c r="D42" s="18"/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 ht="24.75" customHeight="1">
      <c r="A43" s="96"/>
      <c r="B43" s="96"/>
      <c r="C43" s="96"/>
      <c r="D43" s="18"/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 ht="21.75" customHeight="1">
      <c r="A44" s="96"/>
      <c r="B44" s="96"/>
      <c r="C44" s="96"/>
      <c r="D44" s="18"/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 ht="24.75" customHeight="1">
      <c r="A45" s="96"/>
      <c r="B45" s="96"/>
      <c r="C45" s="96"/>
      <c r="D45" s="18"/>
      <c r="E45" s="96"/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 ht="18.75" customHeight="1">
      <c r="A46" s="96"/>
      <c r="B46" s="96"/>
      <c r="C46" s="96"/>
      <c r="D46" s="18"/>
      <c r="E46" s="96"/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 ht="23.25" customHeight="1">
      <c r="A47" s="96"/>
      <c r="B47" s="96"/>
      <c r="C47" s="96"/>
      <c r="D47" s="18"/>
      <c r="E47" s="96"/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8"/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 ht="32.25" customHeight="1">
      <c r="A49" s="96"/>
      <c r="B49" s="96"/>
      <c r="C49" s="96"/>
      <c r="D49" s="18"/>
      <c r="E49" s="96"/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 ht="36" customHeight="1">
      <c r="A50" s="96"/>
      <c r="B50" s="96"/>
      <c r="C50" s="96"/>
      <c r="D50" s="18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8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8"/>
      <c r="E52" s="96"/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8"/>
      <c r="E53" s="96"/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8"/>
      <c r="E54" s="96"/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8"/>
      <c r="E55" s="96"/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8"/>
      <c r="E56" s="96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8">
        <f>SUM(D38:D56)</f>
        <v>2968739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96"/>
      <c r="E58" s="96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9"/>
  <sheetViews>
    <sheetView zoomScaleNormal="100" workbookViewId="0">
      <pane ySplit="1" topLeftCell="A242" activePane="bottomLeft" state="frozen"/>
      <selection pane="bottomLeft" activeCell="F269" sqref="F269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987</v>
      </c>
      <c r="H2" s="36">
        <f>IF(B2&gt;0,1,0)</f>
        <v>1</v>
      </c>
      <c r="I2" s="11">
        <f>B2*(G2-H2)</f>
        <v>16466200</v>
      </c>
      <c r="J2" s="53">
        <f>C2*(G2-H2)</f>
        <v>16466200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986</v>
      </c>
      <c r="H3" s="36">
        <f t="shared" ref="H3:H66" si="2">IF(B3&gt;0,1,0)</f>
        <v>1</v>
      </c>
      <c r="I3" s="11">
        <f t="shared" ref="I3:I66" si="3">B3*(G3-H3)</f>
        <v>19601500000</v>
      </c>
      <c r="J3" s="53">
        <f t="shared" ref="J3:J66" si="4">C3*(G3-H3)</f>
        <v>11216195000</v>
      </c>
      <c r="K3" s="53">
        <f t="shared" ref="K3:K66" si="5">D3*(G3-H3)</f>
        <v>8385305000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986</v>
      </c>
      <c r="H4" s="36">
        <f t="shared" si="2"/>
        <v>0</v>
      </c>
      <c r="I4" s="11">
        <f t="shared" si="3"/>
        <v>0</v>
      </c>
      <c r="J4" s="53">
        <f t="shared" si="4"/>
        <v>8381000</v>
      </c>
      <c r="K4" s="53">
        <f t="shared" si="5"/>
        <v>-8381000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984</v>
      </c>
      <c r="H5" s="36">
        <f t="shared" si="2"/>
        <v>1</v>
      </c>
      <c r="I5" s="11">
        <f t="shared" si="3"/>
        <v>1966000000</v>
      </c>
      <c r="J5" s="53">
        <f t="shared" si="4"/>
        <v>0</v>
      </c>
      <c r="K5" s="53">
        <f t="shared" si="5"/>
        <v>1966000000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977</v>
      </c>
      <c r="H6" s="36">
        <f t="shared" si="2"/>
        <v>0</v>
      </c>
      <c r="I6" s="11">
        <f t="shared" si="3"/>
        <v>-4885000</v>
      </c>
      <c r="J6" s="53">
        <f t="shared" si="4"/>
        <v>0</v>
      </c>
      <c r="K6" s="53">
        <f t="shared" si="5"/>
        <v>-4885000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973</v>
      </c>
      <c r="H7" s="36">
        <f t="shared" si="2"/>
        <v>0</v>
      </c>
      <c r="I7" s="11">
        <f t="shared" si="3"/>
        <v>-1168086500</v>
      </c>
      <c r="J7" s="53">
        <f t="shared" si="4"/>
        <v>0</v>
      </c>
      <c r="K7" s="53">
        <f t="shared" si="5"/>
        <v>-1168086500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972</v>
      </c>
      <c r="H8" s="36">
        <f t="shared" si="2"/>
        <v>0</v>
      </c>
      <c r="I8" s="11">
        <f t="shared" si="3"/>
        <v>-194400000</v>
      </c>
      <c r="J8" s="53">
        <f t="shared" si="4"/>
        <v>0</v>
      </c>
      <c r="K8" s="53">
        <f t="shared" si="5"/>
        <v>-194400000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970</v>
      </c>
      <c r="H9" s="36">
        <f t="shared" si="2"/>
        <v>0</v>
      </c>
      <c r="I9" s="11">
        <f t="shared" si="3"/>
        <v>-684335000</v>
      </c>
      <c r="J9" s="53">
        <f t="shared" si="4"/>
        <v>0</v>
      </c>
      <c r="K9" s="53">
        <f t="shared" si="5"/>
        <v>-684335000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961</v>
      </c>
      <c r="H10" s="36">
        <f t="shared" si="2"/>
        <v>0</v>
      </c>
      <c r="I10" s="11">
        <f t="shared" si="3"/>
        <v>-192200000</v>
      </c>
      <c r="J10" s="53">
        <f t="shared" si="4"/>
        <v>0</v>
      </c>
      <c r="K10" s="53">
        <f t="shared" si="5"/>
        <v>-192200000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961</v>
      </c>
      <c r="H11" s="36">
        <f t="shared" si="2"/>
        <v>1</v>
      </c>
      <c r="I11" s="11">
        <f t="shared" si="3"/>
        <v>960000000</v>
      </c>
      <c r="J11" s="53">
        <f t="shared" si="4"/>
        <v>0</v>
      </c>
      <c r="K11" s="53">
        <f t="shared" si="5"/>
        <v>960000000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957</v>
      </c>
      <c r="H12" s="36">
        <f t="shared" si="2"/>
        <v>0</v>
      </c>
      <c r="I12" s="11">
        <f t="shared" si="3"/>
        <v>-287100000</v>
      </c>
      <c r="J12" s="53">
        <f t="shared" si="4"/>
        <v>0</v>
      </c>
      <c r="K12" s="53">
        <f t="shared" si="5"/>
        <v>-287100000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952</v>
      </c>
      <c r="H13" s="36">
        <f t="shared" si="2"/>
        <v>0</v>
      </c>
      <c r="I13" s="11">
        <f t="shared" si="3"/>
        <v>-59024000</v>
      </c>
      <c r="J13" s="53">
        <f t="shared" si="4"/>
        <v>0</v>
      </c>
      <c r="K13" s="53">
        <f t="shared" si="5"/>
        <v>-59024000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952</v>
      </c>
      <c r="H14" s="36">
        <f t="shared" si="2"/>
        <v>1</v>
      </c>
      <c r="I14" s="11">
        <f t="shared" si="3"/>
        <v>1902000000</v>
      </c>
      <c r="J14" s="53">
        <f t="shared" si="4"/>
        <v>0</v>
      </c>
      <c r="K14" s="53">
        <f t="shared" si="5"/>
        <v>1902000000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951</v>
      </c>
      <c r="H15" s="36">
        <f t="shared" si="2"/>
        <v>1</v>
      </c>
      <c r="I15" s="11">
        <f t="shared" si="3"/>
        <v>1710000000</v>
      </c>
      <c r="J15" s="53">
        <f t="shared" si="4"/>
        <v>0</v>
      </c>
      <c r="K15" s="53">
        <f t="shared" si="5"/>
        <v>1710000000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951</v>
      </c>
      <c r="H16" s="36">
        <f t="shared" si="2"/>
        <v>0</v>
      </c>
      <c r="I16" s="11">
        <f t="shared" si="3"/>
        <v>-190200000</v>
      </c>
      <c r="J16" s="53">
        <f t="shared" si="4"/>
        <v>0</v>
      </c>
      <c r="K16" s="53">
        <f t="shared" si="5"/>
        <v>-190200000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947</v>
      </c>
      <c r="H17" s="36">
        <f t="shared" si="2"/>
        <v>0</v>
      </c>
      <c r="I17" s="11">
        <f t="shared" si="3"/>
        <v>-1894000000</v>
      </c>
      <c r="J17" s="53">
        <f t="shared" si="4"/>
        <v>0</v>
      </c>
      <c r="K17" s="53">
        <f t="shared" si="5"/>
        <v>-1894000000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946</v>
      </c>
      <c r="H18" s="36">
        <f t="shared" si="2"/>
        <v>0</v>
      </c>
      <c r="I18" s="11">
        <f t="shared" si="3"/>
        <v>-283800000</v>
      </c>
      <c r="J18" s="53">
        <f t="shared" si="4"/>
        <v>0</v>
      </c>
      <c r="K18" s="53">
        <f t="shared" si="5"/>
        <v>-283800000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945</v>
      </c>
      <c r="H19" s="36">
        <f t="shared" si="2"/>
        <v>0</v>
      </c>
      <c r="I19" s="11">
        <f t="shared" si="3"/>
        <v>-189000000</v>
      </c>
      <c r="J19" s="53">
        <f t="shared" si="4"/>
        <v>0</v>
      </c>
      <c r="K19" s="53">
        <f t="shared" si="5"/>
        <v>-189000000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943</v>
      </c>
      <c r="H20" s="36">
        <f t="shared" si="2"/>
        <v>1</v>
      </c>
      <c r="I20" s="11">
        <f t="shared" si="3"/>
        <v>255365838</v>
      </c>
      <c r="J20" s="53">
        <f t="shared" si="4"/>
        <v>138899784</v>
      </c>
      <c r="K20" s="53">
        <f t="shared" si="5"/>
        <v>116466054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941</v>
      </c>
      <c r="H21" s="36">
        <f t="shared" si="2"/>
        <v>0</v>
      </c>
      <c r="I21" s="11">
        <f t="shared" si="3"/>
        <v>-1416863700</v>
      </c>
      <c r="J21" s="53">
        <f t="shared" si="4"/>
        <v>0</v>
      </c>
      <c r="K21" s="53">
        <f t="shared" si="5"/>
        <v>-1416863700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938</v>
      </c>
      <c r="H22" s="36">
        <f t="shared" si="2"/>
        <v>1</v>
      </c>
      <c r="I22" s="11">
        <f t="shared" si="3"/>
        <v>2811000000</v>
      </c>
      <c r="J22" s="53">
        <f t="shared" si="4"/>
        <v>0</v>
      </c>
      <c r="K22" s="53">
        <f t="shared" si="5"/>
        <v>2811000000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937</v>
      </c>
      <c r="H23" s="36">
        <f t="shared" si="2"/>
        <v>1</v>
      </c>
      <c r="I23" s="11">
        <f t="shared" si="3"/>
        <v>936000000</v>
      </c>
      <c r="J23" s="53">
        <f t="shared" si="4"/>
        <v>0</v>
      </c>
      <c r="K23" s="53">
        <f t="shared" si="5"/>
        <v>936000000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936</v>
      </c>
      <c r="H24" s="36">
        <f t="shared" si="2"/>
        <v>0</v>
      </c>
      <c r="I24" s="11">
        <f t="shared" si="3"/>
        <v>-2808842400</v>
      </c>
      <c r="J24" s="53">
        <f t="shared" si="4"/>
        <v>0</v>
      </c>
      <c r="K24" s="53">
        <f t="shared" si="5"/>
        <v>-2808842400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921</v>
      </c>
      <c r="H25" s="36">
        <f t="shared" si="2"/>
        <v>1</v>
      </c>
      <c r="I25" s="11">
        <f t="shared" si="3"/>
        <v>1380000000</v>
      </c>
      <c r="J25" s="53">
        <f t="shared" si="4"/>
        <v>0</v>
      </c>
      <c r="K25" s="53">
        <f t="shared" si="5"/>
        <v>1380000000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913</v>
      </c>
      <c r="H26" s="36">
        <f t="shared" si="2"/>
        <v>0</v>
      </c>
      <c r="I26" s="11">
        <f t="shared" si="3"/>
        <v>-149732000</v>
      </c>
      <c r="J26" s="53">
        <f t="shared" si="4"/>
        <v>0</v>
      </c>
      <c r="K26" s="53">
        <f t="shared" si="5"/>
        <v>-149732000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912</v>
      </c>
      <c r="H27" s="36">
        <f t="shared" si="2"/>
        <v>1</v>
      </c>
      <c r="I27" s="11">
        <f t="shared" si="3"/>
        <v>181647023</v>
      </c>
      <c r="J27" s="53">
        <f t="shared" si="4"/>
        <v>97853243</v>
      </c>
      <c r="K27" s="53">
        <f t="shared" si="5"/>
        <v>83793780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910</v>
      </c>
      <c r="H28" s="36">
        <f t="shared" si="2"/>
        <v>0</v>
      </c>
      <c r="I28" s="11">
        <f t="shared" si="3"/>
        <v>-201110000</v>
      </c>
      <c r="J28" s="53">
        <f t="shared" si="4"/>
        <v>-201110000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910</v>
      </c>
      <c r="H29" s="36">
        <f t="shared" si="2"/>
        <v>0</v>
      </c>
      <c r="I29" s="11">
        <f t="shared" si="3"/>
        <v>-455455000</v>
      </c>
      <c r="J29" s="53">
        <f t="shared" si="4"/>
        <v>0</v>
      </c>
      <c r="K29" s="53">
        <f t="shared" si="5"/>
        <v>-455455000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910</v>
      </c>
      <c r="H30" s="36">
        <f t="shared" si="2"/>
        <v>0</v>
      </c>
      <c r="I30" s="11">
        <f t="shared" si="3"/>
        <v>-13650000000</v>
      </c>
      <c r="J30" s="53">
        <f t="shared" si="4"/>
        <v>-13650000000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893</v>
      </c>
      <c r="H31" s="36">
        <f t="shared" si="2"/>
        <v>0</v>
      </c>
      <c r="I31" s="11">
        <f t="shared" si="3"/>
        <v>-2688733700</v>
      </c>
      <c r="J31" s="53">
        <f t="shared" si="4"/>
        <v>0</v>
      </c>
      <c r="K31" s="53">
        <f t="shared" si="5"/>
        <v>-2688733700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891</v>
      </c>
      <c r="H32" s="36">
        <f t="shared" si="2"/>
        <v>0</v>
      </c>
      <c r="I32" s="11">
        <f t="shared" si="3"/>
        <v>-2678256900</v>
      </c>
      <c r="J32" s="53">
        <f t="shared" si="4"/>
        <v>0</v>
      </c>
      <c r="K32" s="53">
        <f t="shared" si="5"/>
        <v>-2678256900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890</v>
      </c>
      <c r="H33" s="36">
        <f t="shared" si="2"/>
        <v>0</v>
      </c>
      <c r="I33" s="11">
        <f t="shared" si="3"/>
        <v>-796995000</v>
      </c>
      <c r="J33" s="53">
        <f t="shared" si="4"/>
        <v>0</v>
      </c>
      <c r="K33" s="53">
        <f t="shared" si="5"/>
        <v>-796995000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890</v>
      </c>
      <c r="H34" s="36">
        <f t="shared" si="2"/>
        <v>0</v>
      </c>
      <c r="I34" s="11">
        <f t="shared" si="3"/>
        <v>0</v>
      </c>
      <c r="J34" s="53">
        <f t="shared" si="4"/>
        <v>890000000</v>
      </c>
      <c r="K34" s="53">
        <f t="shared" si="5"/>
        <v>-890000000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881</v>
      </c>
      <c r="H35" s="36">
        <f t="shared" si="2"/>
        <v>1</v>
      </c>
      <c r="I35" s="11">
        <f t="shared" si="3"/>
        <v>46175360</v>
      </c>
      <c r="J35" s="53">
        <f t="shared" si="4"/>
        <v>-19063440</v>
      </c>
      <c r="K35" s="53">
        <f t="shared" si="5"/>
        <v>65238800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881</v>
      </c>
      <c r="H36" s="36">
        <f t="shared" si="2"/>
        <v>0</v>
      </c>
      <c r="I36" s="11">
        <f t="shared" si="3"/>
        <v>0</v>
      </c>
      <c r="J36" s="53">
        <f t="shared" si="4"/>
        <v>19085103</v>
      </c>
      <c r="K36" s="53">
        <f t="shared" si="5"/>
        <v>-19085103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871</v>
      </c>
      <c r="H37" s="36">
        <f t="shared" si="2"/>
        <v>0</v>
      </c>
      <c r="I37" s="11">
        <f t="shared" si="3"/>
        <v>-47905000</v>
      </c>
      <c r="J37" s="53">
        <f t="shared" si="4"/>
        <v>0</v>
      </c>
      <c r="K37" s="53">
        <f t="shared" si="5"/>
        <v>-47905000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870</v>
      </c>
      <c r="H38" s="36">
        <f t="shared" si="2"/>
        <v>1</v>
      </c>
      <c r="I38" s="11">
        <f t="shared" si="3"/>
        <v>2607000000</v>
      </c>
      <c r="J38" s="53">
        <f t="shared" si="4"/>
        <v>2607000000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869</v>
      </c>
      <c r="H39" s="36">
        <f t="shared" si="2"/>
        <v>1</v>
      </c>
      <c r="I39" s="11">
        <f t="shared" si="3"/>
        <v>2170000000</v>
      </c>
      <c r="J39" s="53">
        <f t="shared" si="4"/>
        <v>2170000000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869</v>
      </c>
      <c r="H40" s="36">
        <f t="shared" si="2"/>
        <v>0</v>
      </c>
      <c r="I40" s="11">
        <f t="shared" si="3"/>
        <v>-43450000</v>
      </c>
      <c r="J40" s="53">
        <f t="shared" si="4"/>
        <v>0</v>
      </c>
      <c r="K40" s="53">
        <f t="shared" si="5"/>
        <v>-43450000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869</v>
      </c>
      <c r="H41" s="36">
        <f t="shared" si="2"/>
        <v>1</v>
      </c>
      <c r="I41" s="11">
        <f t="shared" si="3"/>
        <v>2604000000</v>
      </c>
      <c r="J41" s="53">
        <f t="shared" si="4"/>
        <v>0</v>
      </c>
      <c r="K41" s="53">
        <f t="shared" si="5"/>
        <v>2604000000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866</v>
      </c>
      <c r="H42" s="36">
        <f t="shared" si="2"/>
        <v>0</v>
      </c>
      <c r="I42" s="11">
        <f t="shared" si="3"/>
        <v>-77247200</v>
      </c>
      <c r="J42" s="53">
        <f t="shared" si="4"/>
        <v>0</v>
      </c>
      <c r="K42" s="53">
        <f t="shared" si="5"/>
        <v>-77247200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862</v>
      </c>
      <c r="H43" s="36">
        <f t="shared" si="2"/>
        <v>0</v>
      </c>
      <c r="I43" s="11">
        <f t="shared" si="3"/>
        <v>-172400000</v>
      </c>
      <c r="J43" s="53">
        <f t="shared" si="4"/>
        <v>0</v>
      </c>
      <c r="K43" s="53">
        <f t="shared" si="5"/>
        <v>-172400000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860</v>
      </c>
      <c r="H44" s="36">
        <f t="shared" si="2"/>
        <v>0</v>
      </c>
      <c r="I44" s="11">
        <f t="shared" si="3"/>
        <v>-172000000</v>
      </c>
      <c r="J44" s="53">
        <f t="shared" si="4"/>
        <v>0</v>
      </c>
      <c r="K44" s="53">
        <f t="shared" si="5"/>
        <v>-172000000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860</v>
      </c>
      <c r="H45" s="36">
        <f t="shared" si="2"/>
        <v>0</v>
      </c>
      <c r="I45" s="11">
        <f t="shared" si="3"/>
        <v>-481600000</v>
      </c>
      <c r="J45" s="53">
        <f t="shared" si="4"/>
        <v>0</v>
      </c>
      <c r="K45" s="53">
        <f t="shared" si="5"/>
        <v>-481600000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856</v>
      </c>
      <c r="H46" s="36">
        <f t="shared" si="2"/>
        <v>0</v>
      </c>
      <c r="I46" s="11">
        <f t="shared" si="3"/>
        <v>-603908000</v>
      </c>
      <c r="J46" s="53">
        <f t="shared" si="4"/>
        <v>0</v>
      </c>
      <c r="K46" s="53">
        <f t="shared" si="5"/>
        <v>-603908000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850</v>
      </c>
      <c r="H47" s="36">
        <f t="shared" si="2"/>
        <v>1</v>
      </c>
      <c r="I47" s="11">
        <f t="shared" si="3"/>
        <v>34982196</v>
      </c>
      <c r="J47" s="53">
        <f t="shared" si="4"/>
        <v>5699337</v>
      </c>
      <c r="K47" s="53">
        <f t="shared" si="5"/>
        <v>29282859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850</v>
      </c>
      <c r="H48" s="36">
        <f t="shared" si="2"/>
        <v>1</v>
      </c>
      <c r="I48" s="11">
        <f t="shared" si="3"/>
        <v>1447290300</v>
      </c>
      <c r="J48" s="53">
        <f t="shared" si="4"/>
        <v>0</v>
      </c>
      <c r="K48" s="53">
        <f t="shared" si="5"/>
        <v>1447290300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841</v>
      </c>
      <c r="H49" s="36">
        <f t="shared" si="2"/>
        <v>0</v>
      </c>
      <c r="I49" s="11">
        <f t="shared" si="3"/>
        <v>-130355000</v>
      </c>
      <c r="J49" s="53">
        <f t="shared" si="4"/>
        <v>0</v>
      </c>
      <c r="K49" s="53">
        <f t="shared" si="5"/>
        <v>-130355000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841</v>
      </c>
      <c r="H50" s="36">
        <f t="shared" si="2"/>
        <v>0</v>
      </c>
      <c r="I50" s="11">
        <f t="shared" si="3"/>
        <v>-116058000</v>
      </c>
      <c r="J50" s="53">
        <f t="shared" si="4"/>
        <v>0</v>
      </c>
      <c r="K50" s="53">
        <f t="shared" si="5"/>
        <v>-116058000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841</v>
      </c>
      <c r="H51" s="36">
        <f t="shared" si="2"/>
        <v>0</v>
      </c>
      <c r="I51" s="11">
        <f t="shared" si="3"/>
        <v>-622340000</v>
      </c>
      <c r="J51" s="53">
        <f t="shared" si="4"/>
        <v>0</v>
      </c>
      <c r="K51" s="53">
        <f t="shared" si="5"/>
        <v>-622340000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841</v>
      </c>
      <c r="H52" s="36">
        <f t="shared" si="2"/>
        <v>0</v>
      </c>
      <c r="I52" s="11">
        <f t="shared" si="3"/>
        <v>-168200000</v>
      </c>
      <c r="J52" s="53">
        <f t="shared" si="4"/>
        <v>0</v>
      </c>
      <c r="K52" s="53">
        <f t="shared" si="5"/>
        <v>-168200000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840</v>
      </c>
      <c r="H53" s="36">
        <f t="shared" si="2"/>
        <v>0</v>
      </c>
      <c r="I53" s="11">
        <f t="shared" si="3"/>
        <v>-886200000</v>
      </c>
      <c r="J53" s="53">
        <f t="shared" si="4"/>
        <v>0</v>
      </c>
      <c r="K53" s="53">
        <f t="shared" si="5"/>
        <v>-886200000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840</v>
      </c>
      <c r="H54" s="36">
        <f t="shared" si="2"/>
        <v>0</v>
      </c>
      <c r="I54" s="11">
        <f t="shared" si="3"/>
        <v>-168000000</v>
      </c>
      <c r="J54" s="53">
        <f t="shared" si="4"/>
        <v>0</v>
      </c>
      <c r="K54" s="53">
        <f t="shared" si="5"/>
        <v>-168000000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840</v>
      </c>
      <c r="H55" s="36">
        <f t="shared" si="2"/>
        <v>0</v>
      </c>
      <c r="I55" s="11">
        <f t="shared" si="3"/>
        <v>-840420000</v>
      </c>
      <c r="J55" s="53">
        <f t="shared" si="4"/>
        <v>0</v>
      </c>
      <c r="K55" s="53">
        <f t="shared" si="5"/>
        <v>-840420000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840</v>
      </c>
      <c r="H56" s="36">
        <f t="shared" si="2"/>
        <v>0</v>
      </c>
      <c r="I56" s="11">
        <f t="shared" si="3"/>
        <v>-31920000</v>
      </c>
      <c r="J56" s="53">
        <f t="shared" si="4"/>
        <v>0</v>
      </c>
      <c r="K56" s="53">
        <f t="shared" si="5"/>
        <v>-31920000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840</v>
      </c>
      <c r="H57" s="36">
        <f t="shared" si="2"/>
        <v>0</v>
      </c>
      <c r="I57" s="11">
        <f t="shared" si="3"/>
        <v>-88200000</v>
      </c>
      <c r="J57" s="53">
        <f t="shared" si="4"/>
        <v>0</v>
      </c>
      <c r="K57" s="53">
        <f t="shared" si="5"/>
        <v>-88200000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840</v>
      </c>
      <c r="H58" s="36">
        <f t="shared" si="2"/>
        <v>0</v>
      </c>
      <c r="I58" s="11">
        <f t="shared" si="3"/>
        <v>-50400000</v>
      </c>
      <c r="J58" s="53">
        <f t="shared" si="4"/>
        <v>0</v>
      </c>
      <c r="K58" s="53">
        <f t="shared" si="5"/>
        <v>-50400000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837</v>
      </c>
      <c r="H59" s="36">
        <f t="shared" si="2"/>
        <v>1</v>
      </c>
      <c r="I59" s="11">
        <f t="shared" si="3"/>
        <v>836000000</v>
      </c>
      <c r="J59" s="53">
        <f t="shared" si="4"/>
        <v>836000000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836</v>
      </c>
      <c r="H60" s="36">
        <f t="shared" si="2"/>
        <v>1</v>
      </c>
      <c r="I60" s="11">
        <f t="shared" si="3"/>
        <v>2922500000</v>
      </c>
      <c r="J60" s="53">
        <f t="shared" si="4"/>
        <v>2922500000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834</v>
      </c>
      <c r="H61" s="36">
        <f t="shared" si="2"/>
        <v>1</v>
      </c>
      <c r="I61" s="11">
        <f t="shared" si="3"/>
        <v>833000000</v>
      </c>
      <c r="J61" s="53">
        <f t="shared" si="4"/>
        <v>833000000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834</v>
      </c>
      <c r="H62" s="36">
        <f t="shared" si="2"/>
        <v>1</v>
      </c>
      <c r="I62" s="11">
        <f t="shared" si="3"/>
        <v>2499000000</v>
      </c>
      <c r="J62" s="53">
        <f t="shared" si="4"/>
        <v>2499000000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832</v>
      </c>
      <c r="H63" s="36">
        <f t="shared" si="2"/>
        <v>0</v>
      </c>
      <c r="I63" s="11">
        <f t="shared" si="3"/>
        <v>-166400000</v>
      </c>
      <c r="J63" s="53">
        <f t="shared" si="4"/>
        <v>0</v>
      </c>
      <c r="K63" s="53">
        <f t="shared" si="5"/>
        <v>-166400000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827</v>
      </c>
      <c r="H64" s="36">
        <f t="shared" si="2"/>
        <v>0</v>
      </c>
      <c r="I64" s="11">
        <f t="shared" si="3"/>
        <v>-41350000</v>
      </c>
      <c r="J64" s="53">
        <f t="shared" si="4"/>
        <v>0</v>
      </c>
      <c r="K64" s="53">
        <f t="shared" si="5"/>
        <v>-41350000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823</v>
      </c>
      <c r="H65" s="36">
        <f t="shared" si="2"/>
        <v>0</v>
      </c>
      <c r="I65" s="11">
        <f t="shared" si="3"/>
        <v>-164600000</v>
      </c>
      <c r="J65" s="53">
        <f t="shared" si="4"/>
        <v>0</v>
      </c>
      <c r="K65" s="53">
        <f t="shared" si="5"/>
        <v>-164600000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820</v>
      </c>
      <c r="H66" s="36">
        <f t="shared" si="2"/>
        <v>0</v>
      </c>
      <c r="I66" s="11">
        <f t="shared" si="3"/>
        <v>-139400000</v>
      </c>
      <c r="J66" s="53">
        <f t="shared" si="4"/>
        <v>0</v>
      </c>
      <c r="K66" s="53">
        <f t="shared" si="5"/>
        <v>-139400000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819</v>
      </c>
      <c r="H67" s="36">
        <f t="shared" ref="H67:H131" si="8">IF(B67&gt;0,1,0)</f>
        <v>1</v>
      </c>
      <c r="I67" s="11">
        <f t="shared" ref="I67:I119" si="9">B67*(G67-H67)</f>
        <v>74703850</v>
      </c>
      <c r="J67" s="53">
        <f t="shared" ref="J67:J131" si="10">C67*(G67-H67)</f>
        <v>53761414</v>
      </c>
      <c r="K67" s="53">
        <f t="shared" ref="K67:K131" si="11">D67*(G67-H67)</f>
        <v>20942436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801</v>
      </c>
      <c r="H68" s="36">
        <f t="shared" si="8"/>
        <v>0</v>
      </c>
      <c r="I68" s="11">
        <f t="shared" si="9"/>
        <v>-116145000</v>
      </c>
      <c r="J68" s="53">
        <f t="shared" si="10"/>
        <v>0</v>
      </c>
      <c r="K68" s="53">
        <f t="shared" si="11"/>
        <v>-116145000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794</v>
      </c>
      <c r="H69" s="36">
        <f t="shared" si="8"/>
        <v>1</v>
      </c>
      <c r="I69" s="11">
        <f t="shared" si="9"/>
        <v>777140000</v>
      </c>
      <c r="J69" s="53">
        <f t="shared" si="10"/>
        <v>0</v>
      </c>
      <c r="K69" s="53">
        <f t="shared" si="11"/>
        <v>777140000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791</v>
      </c>
      <c r="H70" s="36">
        <f t="shared" si="8"/>
        <v>0</v>
      </c>
      <c r="I70" s="11">
        <f t="shared" si="9"/>
        <v>-36386000</v>
      </c>
      <c r="J70" s="53">
        <f t="shared" si="10"/>
        <v>0</v>
      </c>
      <c r="K70" s="53">
        <f t="shared" si="11"/>
        <v>-36386000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789</v>
      </c>
      <c r="H71" s="36">
        <f t="shared" si="8"/>
        <v>1</v>
      </c>
      <c r="I71" s="11">
        <f t="shared" si="9"/>
        <v>90886344</v>
      </c>
      <c r="J71" s="53">
        <f t="shared" si="10"/>
        <v>81803856</v>
      </c>
      <c r="K71" s="53">
        <f t="shared" si="11"/>
        <v>9082488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788</v>
      </c>
      <c r="H72" s="36">
        <f t="shared" si="8"/>
        <v>0</v>
      </c>
      <c r="I72" s="11">
        <f t="shared" si="9"/>
        <v>-119751572</v>
      </c>
      <c r="J72" s="53">
        <f t="shared" si="10"/>
        <v>0</v>
      </c>
      <c r="K72" s="53">
        <f t="shared" si="11"/>
        <v>-119751572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787</v>
      </c>
      <c r="H73" s="36">
        <f t="shared" si="8"/>
        <v>0</v>
      </c>
      <c r="I73" s="11">
        <f t="shared" si="9"/>
        <v>-633928500</v>
      </c>
      <c r="J73" s="53">
        <f t="shared" si="10"/>
        <v>0</v>
      </c>
      <c r="K73" s="53">
        <f t="shared" si="11"/>
        <v>-633928500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780</v>
      </c>
      <c r="H74" s="36">
        <f t="shared" si="8"/>
        <v>1</v>
      </c>
      <c r="I74" s="11">
        <f t="shared" si="9"/>
        <v>5449105000</v>
      </c>
      <c r="J74" s="53">
        <f t="shared" si="10"/>
        <v>0</v>
      </c>
      <c r="K74" s="53">
        <f t="shared" si="11"/>
        <v>5449105000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779</v>
      </c>
      <c r="H75" s="36">
        <f t="shared" si="8"/>
        <v>1</v>
      </c>
      <c r="I75" s="11">
        <f t="shared" si="9"/>
        <v>2334000000</v>
      </c>
      <c r="J75" s="53">
        <f t="shared" si="10"/>
        <v>0</v>
      </c>
      <c r="K75" s="53">
        <f t="shared" si="11"/>
        <v>2334000000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777</v>
      </c>
      <c r="H76" s="36">
        <f t="shared" si="8"/>
        <v>1</v>
      </c>
      <c r="I76" s="11">
        <f t="shared" si="9"/>
        <v>2328000000</v>
      </c>
      <c r="J76" s="53">
        <f t="shared" si="10"/>
        <v>0</v>
      </c>
      <c r="K76" s="53">
        <f t="shared" si="11"/>
        <v>2328000000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776</v>
      </c>
      <c r="H77" s="36">
        <f t="shared" si="8"/>
        <v>1</v>
      </c>
      <c r="I77" s="11">
        <f t="shared" si="9"/>
        <v>2325000000</v>
      </c>
      <c r="J77" s="53">
        <f t="shared" si="10"/>
        <v>0</v>
      </c>
      <c r="K77" s="53">
        <f t="shared" si="11"/>
        <v>2325000000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775</v>
      </c>
      <c r="H78" s="36">
        <f t="shared" si="8"/>
        <v>0</v>
      </c>
      <c r="I78" s="11">
        <f t="shared" si="9"/>
        <v>-2480000000</v>
      </c>
      <c r="J78" s="53">
        <f t="shared" si="10"/>
        <v>-2480000000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774</v>
      </c>
      <c r="H79" s="36">
        <f t="shared" si="8"/>
        <v>0</v>
      </c>
      <c r="I79" s="11">
        <f t="shared" si="9"/>
        <v>-619200000</v>
      </c>
      <c r="J79" s="53">
        <f t="shared" si="10"/>
        <v>-619200000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773</v>
      </c>
      <c r="H80" s="36">
        <f t="shared" si="8"/>
        <v>0</v>
      </c>
      <c r="I80" s="11">
        <f t="shared" si="9"/>
        <v>-37407789</v>
      </c>
      <c r="J80" s="53">
        <f t="shared" si="10"/>
        <v>0</v>
      </c>
      <c r="K80" s="53">
        <f t="shared" si="11"/>
        <v>-37407789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772</v>
      </c>
      <c r="H81" s="36">
        <f t="shared" si="8"/>
        <v>0</v>
      </c>
      <c r="I81" s="11">
        <f t="shared" si="9"/>
        <v>-108080000</v>
      </c>
      <c r="J81" s="53">
        <f t="shared" si="10"/>
        <v>0</v>
      </c>
      <c r="K81" s="53">
        <f t="shared" si="11"/>
        <v>-108080000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771</v>
      </c>
      <c r="H82" s="36">
        <f t="shared" si="8"/>
        <v>0</v>
      </c>
      <c r="I82" s="11">
        <f t="shared" si="9"/>
        <v>-192750000</v>
      </c>
      <c r="J82" s="53">
        <f t="shared" si="10"/>
        <v>0</v>
      </c>
      <c r="K82" s="53">
        <f t="shared" si="11"/>
        <v>-192750000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770</v>
      </c>
      <c r="H83" s="36">
        <f t="shared" si="8"/>
        <v>0</v>
      </c>
      <c r="I83" s="11">
        <f t="shared" si="9"/>
        <v>-154000000</v>
      </c>
      <c r="J83" s="53">
        <f t="shared" si="10"/>
        <v>0</v>
      </c>
      <c r="K83" s="53">
        <f t="shared" si="11"/>
        <v>-154000000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767</v>
      </c>
      <c r="H84" s="36">
        <f t="shared" si="8"/>
        <v>1</v>
      </c>
      <c r="I84" s="11">
        <f t="shared" si="9"/>
        <v>1252563200</v>
      </c>
      <c r="J84" s="53">
        <f t="shared" si="10"/>
        <v>0</v>
      </c>
      <c r="K84" s="53">
        <f t="shared" si="11"/>
        <v>1252563200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763</v>
      </c>
      <c r="H85" s="36">
        <f t="shared" si="8"/>
        <v>1</v>
      </c>
      <c r="I85" s="11">
        <f t="shared" si="9"/>
        <v>1905000000</v>
      </c>
      <c r="J85" s="53">
        <f t="shared" si="10"/>
        <v>0</v>
      </c>
      <c r="K85" s="53">
        <f t="shared" si="11"/>
        <v>1905000000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759</v>
      </c>
      <c r="H86" s="36">
        <f t="shared" si="8"/>
        <v>1</v>
      </c>
      <c r="I86" s="11">
        <f t="shared" si="9"/>
        <v>141215400</v>
      </c>
      <c r="J86" s="53">
        <f t="shared" si="10"/>
        <v>64392100</v>
      </c>
      <c r="K86" s="53">
        <f t="shared" si="11"/>
        <v>76823300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756</v>
      </c>
      <c r="H87" s="36">
        <f t="shared" si="8"/>
        <v>0</v>
      </c>
      <c r="I87" s="11">
        <f t="shared" si="9"/>
        <v>-151200000</v>
      </c>
      <c r="J87" s="53">
        <f t="shared" si="10"/>
        <v>0</v>
      </c>
      <c r="K87" s="53">
        <f t="shared" si="11"/>
        <v>-151200000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755</v>
      </c>
      <c r="H88" s="36">
        <f t="shared" si="8"/>
        <v>0</v>
      </c>
      <c r="I88" s="11">
        <f t="shared" si="9"/>
        <v>-89090000</v>
      </c>
      <c r="J88" s="53">
        <f t="shared" si="10"/>
        <v>-52095000</v>
      </c>
      <c r="K88" s="53">
        <f t="shared" si="11"/>
        <v>-36995000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747</v>
      </c>
      <c r="H89" s="36">
        <f t="shared" si="8"/>
        <v>0</v>
      </c>
      <c r="I89" s="11">
        <f t="shared" si="9"/>
        <v>-2391072300</v>
      </c>
      <c r="J89" s="53">
        <f t="shared" si="10"/>
        <v>0</v>
      </c>
      <c r="K89" s="53">
        <f t="shared" si="11"/>
        <v>-2391072300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746</v>
      </c>
      <c r="H90" s="36">
        <f t="shared" si="8"/>
        <v>0</v>
      </c>
      <c r="I90" s="11">
        <f t="shared" si="9"/>
        <v>-2387871400</v>
      </c>
      <c r="J90" s="53">
        <f t="shared" si="10"/>
        <v>0</v>
      </c>
      <c r="K90" s="53">
        <f t="shared" si="11"/>
        <v>-2387871400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745</v>
      </c>
      <c r="H91" s="36">
        <f t="shared" si="8"/>
        <v>0</v>
      </c>
      <c r="I91" s="11">
        <f t="shared" si="9"/>
        <v>-2384670500</v>
      </c>
      <c r="J91" s="53">
        <f t="shared" si="10"/>
        <v>0</v>
      </c>
      <c r="K91" s="53">
        <f t="shared" si="11"/>
        <v>-2384670500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744</v>
      </c>
      <c r="H92" s="36">
        <f t="shared" si="8"/>
        <v>0</v>
      </c>
      <c r="I92" s="11">
        <f t="shared" si="9"/>
        <v>-2381469600</v>
      </c>
      <c r="J92" s="53">
        <f t="shared" si="10"/>
        <v>0</v>
      </c>
      <c r="K92" s="53">
        <f t="shared" si="11"/>
        <v>-2381469600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743</v>
      </c>
      <c r="H93" s="36">
        <f t="shared" si="8"/>
        <v>0</v>
      </c>
      <c r="I93" s="11">
        <f t="shared" si="9"/>
        <v>-2378268700</v>
      </c>
      <c r="J93" s="53">
        <f t="shared" si="10"/>
        <v>0</v>
      </c>
      <c r="K93" s="53">
        <f t="shared" si="11"/>
        <v>-2378268700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742</v>
      </c>
      <c r="H94" s="36">
        <f t="shared" si="8"/>
        <v>0</v>
      </c>
      <c r="I94" s="11">
        <f t="shared" si="9"/>
        <v>-2375067800</v>
      </c>
      <c r="J94" s="53">
        <f t="shared" si="10"/>
        <v>0</v>
      </c>
      <c r="K94" s="53">
        <f t="shared" si="11"/>
        <v>-2375067800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740</v>
      </c>
      <c r="H95" s="36">
        <f t="shared" si="8"/>
        <v>0</v>
      </c>
      <c r="I95" s="11">
        <f t="shared" si="9"/>
        <v>-885481040</v>
      </c>
      <c r="J95" s="53">
        <f t="shared" si="10"/>
        <v>0</v>
      </c>
      <c r="K95" s="53">
        <f t="shared" si="11"/>
        <v>-885481040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730</v>
      </c>
      <c r="H96" s="36">
        <f t="shared" si="8"/>
        <v>0</v>
      </c>
      <c r="I96" s="11">
        <f t="shared" si="9"/>
        <v>-146000000</v>
      </c>
      <c r="J96" s="53">
        <f t="shared" si="10"/>
        <v>0</v>
      </c>
      <c r="K96" s="53">
        <f t="shared" si="11"/>
        <v>-146000000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729</v>
      </c>
      <c r="H97" s="36">
        <f t="shared" si="8"/>
        <v>1</v>
      </c>
      <c r="I97" s="11">
        <f t="shared" si="9"/>
        <v>116158224</v>
      </c>
      <c r="J97" s="53">
        <f t="shared" si="10"/>
        <v>50178128</v>
      </c>
      <c r="K97" s="53">
        <f t="shared" si="11"/>
        <v>65980096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724</v>
      </c>
      <c r="H98" s="36">
        <f t="shared" si="8"/>
        <v>1</v>
      </c>
      <c r="I98" s="11">
        <f t="shared" si="9"/>
        <v>82688064</v>
      </c>
      <c r="J98" s="53">
        <f t="shared" si="10"/>
        <v>0</v>
      </c>
      <c r="K98" s="53">
        <f t="shared" si="11"/>
        <v>82688064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721</v>
      </c>
      <c r="H99" s="36">
        <f t="shared" si="8"/>
        <v>0</v>
      </c>
      <c r="I99" s="11">
        <f t="shared" si="9"/>
        <v>-955325000</v>
      </c>
      <c r="J99" s="53">
        <f t="shared" si="10"/>
        <v>0</v>
      </c>
      <c r="K99" s="53">
        <f t="shared" si="11"/>
        <v>-955325000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716</v>
      </c>
      <c r="H100" s="36">
        <f t="shared" si="8"/>
        <v>1</v>
      </c>
      <c r="I100" s="11">
        <f t="shared" si="9"/>
        <v>947375000</v>
      </c>
      <c r="J100" s="53">
        <f t="shared" si="10"/>
        <v>0</v>
      </c>
      <c r="K100" s="53">
        <f t="shared" si="11"/>
        <v>947375000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699</v>
      </c>
      <c r="H101" s="36">
        <f t="shared" si="8"/>
        <v>1</v>
      </c>
      <c r="I101" s="11">
        <f t="shared" si="9"/>
        <v>46657810</v>
      </c>
      <c r="J101" s="53">
        <f t="shared" si="10"/>
        <v>46657810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696</v>
      </c>
      <c r="H102" s="36">
        <f t="shared" si="8"/>
        <v>1</v>
      </c>
      <c r="I102" s="11">
        <f t="shared" si="9"/>
        <v>2085000000</v>
      </c>
      <c r="J102" s="53">
        <f t="shared" si="10"/>
        <v>0</v>
      </c>
      <c r="K102" s="53">
        <f t="shared" si="11"/>
        <v>2085000000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689</v>
      </c>
      <c r="H103" s="36">
        <f t="shared" si="8"/>
        <v>0</v>
      </c>
      <c r="I103" s="11">
        <f t="shared" si="9"/>
        <v>-689000000</v>
      </c>
      <c r="J103" s="53">
        <f t="shared" si="10"/>
        <v>-689000000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679</v>
      </c>
      <c r="H104" s="36">
        <f t="shared" si="8"/>
        <v>1</v>
      </c>
      <c r="I104" s="11">
        <f t="shared" si="9"/>
        <v>2034000000</v>
      </c>
      <c r="J104" s="53">
        <f t="shared" si="10"/>
        <v>2034000000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678</v>
      </c>
      <c r="H105" s="36">
        <f t="shared" si="8"/>
        <v>1</v>
      </c>
      <c r="I105" s="11">
        <f t="shared" si="9"/>
        <v>758240000</v>
      </c>
      <c r="J105" s="53">
        <f t="shared" si="10"/>
        <v>758240000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678</v>
      </c>
      <c r="H106" s="36">
        <f t="shared" si="8"/>
        <v>0</v>
      </c>
      <c r="I106" s="11">
        <f t="shared" si="9"/>
        <v>-2034000000</v>
      </c>
      <c r="J106" s="53">
        <f t="shared" si="10"/>
        <v>0</v>
      </c>
      <c r="K106" s="53">
        <f t="shared" si="11"/>
        <v>-2034000000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669</v>
      </c>
      <c r="H107" s="36">
        <f t="shared" si="8"/>
        <v>1</v>
      </c>
      <c r="I107" s="11">
        <f t="shared" si="9"/>
        <v>60449992</v>
      </c>
      <c r="J107" s="53">
        <f t="shared" si="10"/>
        <v>50176820</v>
      </c>
      <c r="K107" s="53">
        <f t="shared" si="11"/>
        <v>10273172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667</v>
      </c>
      <c r="H108" s="36">
        <f t="shared" si="8"/>
        <v>0</v>
      </c>
      <c r="I108" s="11">
        <f t="shared" si="9"/>
        <v>-1134366900</v>
      </c>
      <c r="J108" s="53">
        <f t="shared" si="10"/>
        <v>0</v>
      </c>
      <c r="K108" s="53">
        <f t="shared" si="11"/>
        <v>-1134366900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663</v>
      </c>
      <c r="H109" s="36">
        <f t="shared" si="8"/>
        <v>0</v>
      </c>
      <c r="I109" s="11">
        <f t="shared" si="9"/>
        <v>-663331500</v>
      </c>
      <c r="J109" s="53">
        <f t="shared" si="10"/>
        <v>0</v>
      </c>
      <c r="K109" s="53">
        <f t="shared" si="11"/>
        <v>-663331500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660</v>
      </c>
      <c r="H110" s="36">
        <f t="shared" si="8"/>
        <v>1</v>
      </c>
      <c r="I110" s="11">
        <f t="shared" si="9"/>
        <v>13180000000</v>
      </c>
      <c r="J110" s="53">
        <f t="shared" si="10"/>
        <v>0</v>
      </c>
      <c r="K110" s="53">
        <f t="shared" si="11"/>
        <v>13180000000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640</v>
      </c>
      <c r="H111" s="36">
        <f t="shared" si="8"/>
        <v>1</v>
      </c>
      <c r="I111" s="11">
        <f t="shared" si="9"/>
        <v>111619242</v>
      </c>
      <c r="J111" s="53">
        <f t="shared" si="10"/>
        <v>55824957</v>
      </c>
      <c r="K111" s="53">
        <f t="shared" si="11"/>
        <v>55794285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624</v>
      </c>
      <c r="H112" s="36">
        <f t="shared" si="8"/>
        <v>0</v>
      </c>
      <c r="I112" s="11">
        <f t="shared" si="9"/>
        <v>-17721600000</v>
      </c>
      <c r="J112" s="53">
        <f t="shared" si="10"/>
        <v>0</v>
      </c>
      <c r="K112" s="53">
        <f t="shared" si="11"/>
        <v>-17721600000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609</v>
      </c>
      <c r="H113" s="36">
        <f t="shared" si="8"/>
        <v>1</v>
      </c>
      <c r="I113" s="11">
        <f t="shared" si="9"/>
        <v>99128320</v>
      </c>
      <c r="J113" s="53">
        <f t="shared" si="10"/>
        <v>74486688</v>
      </c>
      <c r="K113" s="53">
        <f t="shared" si="11"/>
        <v>24641632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609</v>
      </c>
      <c r="H114" s="36">
        <f t="shared" si="8"/>
        <v>0</v>
      </c>
      <c r="I114" s="11">
        <f t="shared" si="9"/>
        <v>-3471300</v>
      </c>
      <c r="J114" s="53">
        <f t="shared" si="10"/>
        <v>-1522500</v>
      </c>
      <c r="K114" s="53">
        <f t="shared" si="11"/>
        <v>-1948800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596</v>
      </c>
      <c r="H115" s="36">
        <f t="shared" si="8"/>
        <v>0</v>
      </c>
      <c r="I115" s="11">
        <f t="shared" si="9"/>
        <v>0</v>
      </c>
      <c r="J115" s="53">
        <f t="shared" si="10"/>
        <v>298000000</v>
      </c>
      <c r="K115" s="53">
        <f t="shared" si="11"/>
        <v>-298000000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588</v>
      </c>
      <c r="H116" s="36">
        <f t="shared" si="8"/>
        <v>0</v>
      </c>
      <c r="I116" s="11">
        <f t="shared" si="9"/>
        <v>-94080000</v>
      </c>
      <c r="J116" s="53">
        <f t="shared" si="10"/>
        <v>0</v>
      </c>
      <c r="K116" s="53">
        <f t="shared" si="11"/>
        <v>-94080000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579</v>
      </c>
      <c r="H117" s="36">
        <f t="shared" si="8"/>
        <v>1</v>
      </c>
      <c r="I117" s="11">
        <f t="shared" si="9"/>
        <v>855440</v>
      </c>
      <c r="J117" s="53">
        <f t="shared" si="10"/>
        <v>61811898</v>
      </c>
      <c r="K117" s="53">
        <f t="shared" si="11"/>
        <v>-60956458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557</v>
      </c>
      <c r="H118" s="36">
        <f t="shared" si="8"/>
        <v>1</v>
      </c>
      <c r="I118" s="11">
        <f t="shared" si="9"/>
        <v>21906122000</v>
      </c>
      <c r="J118" s="53">
        <f t="shared" si="10"/>
        <v>0</v>
      </c>
      <c r="K118" s="53">
        <f t="shared" si="11"/>
        <v>21906122000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548</v>
      </c>
      <c r="H119" s="36">
        <f t="shared" si="8"/>
        <v>1</v>
      </c>
      <c r="I119" s="11">
        <f t="shared" si="9"/>
        <v>52249987</v>
      </c>
      <c r="J119" s="53">
        <f t="shared" si="10"/>
        <v>60199538</v>
      </c>
      <c r="K119" s="53">
        <f t="shared" si="11"/>
        <v>-7949551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544</v>
      </c>
      <c r="H120" s="11">
        <f t="shared" si="8"/>
        <v>1</v>
      </c>
      <c r="I120" s="11">
        <f t="shared" ref="I120:I269" si="13">B120*(G120-H120)</f>
        <v>1086000000</v>
      </c>
      <c r="J120" s="11">
        <f t="shared" si="10"/>
        <v>0</v>
      </c>
      <c r="K120" s="11">
        <f t="shared" si="11"/>
        <v>1086000000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518</v>
      </c>
      <c r="H121" s="11">
        <f t="shared" si="8"/>
        <v>1</v>
      </c>
      <c r="I121" s="11">
        <f t="shared" si="13"/>
        <v>1344200000</v>
      </c>
      <c r="J121" s="11">
        <f t="shared" si="10"/>
        <v>0</v>
      </c>
      <c r="K121" s="11">
        <f t="shared" si="11"/>
        <v>1344200000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517</v>
      </c>
      <c r="H122" s="11">
        <f t="shared" si="8"/>
        <v>1</v>
      </c>
      <c r="I122" s="11">
        <f t="shared" si="13"/>
        <v>198428316</v>
      </c>
      <c r="J122" s="11">
        <f t="shared" si="10"/>
        <v>57228528</v>
      </c>
      <c r="K122" s="11">
        <f t="shared" si="11"/>
        <v>141199788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516</v>
      </c>
      <c r="H123" s="11">
        <f t="shared" si="8"/>
        <v>0</v>
      </c>
      <c r="I123" s="11">
        <f t="shared" si="13"/>
        <v>0</v>
      </c>
      <c r="J123" s="11">
        <f t="shared" si="10"/>
        <v>412800000</v>
      </c>
      <c r="K123" s="11">
        <f t="shared" si="11"/>
        <v>-412800000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502</v>
      </c>
      <c r="H124" s="11">
        <f t="shared" si="8"/>
        <v>0</v>
      </c>
      <c r="I124" s="11">
        <f t="shared" si="13"/>
        <v>-1506000000</v>
      </c>
      <c r="J124" s="11">
        <f t="shared" si="10"/>
        <v>0</v>
      </c>
      <c r="K124" s="11">
        <f t="shared" si="11"/>
        <v>-1506000000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487</v>
      </c>
      <c r="H125" s="11">
        <f t="shared" si="8"/>
        <v>1</v>
      </c>
      <c r="I125" s="11">
        <f t="shared" si="13"/>
        <v>194745060</v>
      </c>
      <c r="J125" s="11">
        <f t="shared" si="10"/>
        <v>57773250</v>
      </c>
      <c r="K125" s="11">
        <f t="shared" si="11"/>
        <v>136971810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487</v>
      </c>
      <c r="H126" s="11">
        <f t="shared" si="8"/>
        <v>1</v>
      </c>
      <c r="I126" s="11">
        <f t="shared" si="13"/>
        <v>20412000000</v>
      </c>
      <c r="J126" s="11">
        <f t="shared" si="10"/>
        <v>0</v>
      </c>
      <c r="K126" s="11">
        <f t="shared" si="11"/>
        <v>20412000000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462</v>
      </c>
      <c r="H127" s="11">
        <f t="shared" si="8"/>
        <v>0</v>
      </c>
      <c r="I127" s="11">
        <f t="shared" si="13"/>
        <v>-2310000</v>
      </c>
      <c r="J127" s="11">
        <f t="shared" si="10"/>
        <v>0</v>
      </c>
      <c r="K127" s="11">
        <f t="shared" si="11"/>
        <v>-2310000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456</v>
      </c>
      <c r="H128" s="11">
        <f t="shared" si="8"/>
        <v>1</v>
      </c>
      <c r="I128" s="11">
        <f t="shared" si="13"/>
        <v>350975170</v>
      </c>
      <c r="J128" s="11">
        <f t="shared" si="10"/>
        <v>54917135</v>
      </c>
      <c r="K128" s="11">
        <f t="shared" si="11"/>
        <v>296058035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453</v>
      </c>
      <c r="H129" s="11">
        <f t="shared" si="8"/>
        <v>1</v>
      </c>
      <c r="I129" s="11">
        <f t="shared" si="13"/>
        <v>1130000000</v>
      </c>
      <c r="J129" s="11">
        <f t="shared" si="10"/>
        <v>0</v>
      </c>
      <c r="K129" s="11">
        <f t="shared" si="11"/>
        <v>1130000000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439</v>
      </c>
      <c r="H130" s="11">
        <f t="shared" si="8"/>
        <v>0</v>
      </c>
      <c r="I130" s="11">
        <f t="shared" si="13"/>
        <v>-439000000</v>
      </c>
      <c r="J130" s="11">
        <f t="shared" si="10"/>
        <v>-439000000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434</v>
      </c>
      <c r="H131" s="11">
        <f t="shared" si="8"/>
        <v>0</v>
      </c>
      <c r="I131" s="11">
        <f t="shared" si="13"/>
        <v>-21700000000</v>
      </c>
      <c r="J131" s="11">
        <f t="shared" si="10"/>
        <v>0</v>
      </c>
      <c r="K131" s="11">
        <f t="shared" si="11"/>
        <v>-21700000000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426</v>
      </c>
      <c r="H132" s="11">
        <f t="shared" ref="H132:H269" si="15">IF(B132&gt;0,1,0)</f>
        <v>1</v>
      </c>
      <c r="I132" s="11">
        <f t="shared" si="13"/>
        <v>261071975</v>
      </c>
      <c r="J132" s="11">
        <f t="shared" ref="J132:J206" si="16">C132*(G132-H132)</f>
        <v>45037675</v>
      </c>
      <c r="K132" s="11">
        <f t="shared" ref="K132:K269" si="17">D132*(G132-H132)</f>
        <v>216034300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422</v>
      </c>
      <c r="H133" s="11">
        <f t="shared" si="15"/>
        <v>0</v>
      </c>
      <c r="I133" s="11">
        <f t="shared" si="13"/>
        <v>-510915400</v>
      </c>
      <c r="J133" s="11">
        <f t="shared" si="16"/>
        <v>0</v>
      </c>
      <c r="K133" s="11">
        <f t="shared" si="17"/>
        <v>-510915400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413</v>
      </c>
      <c r="H134" s="11">
        <f t="shared" si="15"/>
        <v>0</v>
      </c>
      <c r="I134" s="11">
        <f t="shared" si="13"/>
        <v>-26845000</v>
      </c>
      <c r="J134" s="11">
        <f t="shared" si="16"/>
        <v>0</v>
      </c>
      <c r="K134" s="11">
        <f t="shared" si="17"/>
        <v>-26845000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413</v>
      </c>
      <c r="H135" s="11">
        <f t="shared" si="15"/>
        <v>0</v>
      </c>
      <c r="I135" s="11">
        <f t="shared" si="13"/>
        <v>-13339900</v>
      </c>
      <c r="J135" s="11">
        <f t="shared" si="16"/>
        <v>0</v>
      </c>
      <c r="K135" s="11">
        <f t="shared" si="17"/>
        <v>-13339900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405</v>
      </c>
      <c r="H136" s="11">
        <f t="shared" si="15"/>
        <v>0</v>
      </c>
      <c r="I136" s="11">
        <f t="shared" si="13"/>
        <v>-405000000</v>
      </c>
      <c r="J136" s="11">
        <f t="shared" si="16"/>
        <v>-405000000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396</v>
      </c>
      <c r="H137" s="11">
        <f t="shared" si="15"/>
        <v>1</v>
      </c>
      <c r="I137" s="11">
        <f t="shared" si="13"/>
        <v>114894835</v>
      </c>
      <c r="J137" s="11">
        <f t="shared" si="16"/>
        <v>38456805</v>
      </c>
      <c r="K137" s="11">
        <f t="shared" si="17"/>
        <v>76438030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379</v>
      </c>
      <c r="H138" s="11">
        <f t="shared" si="15"/>
        <v>0</v>
      </c>
      <c r="I138" s="11">
        <f t="shared" si="13"/>
        <v>-379189500</v>
      </c>
      <c r="J138" s="11">
        <f t="shared" si="16"/>
        <v>-379189500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367</v>
      </c>
      <c r="H139" s="11">
        <f t="shared" si="15"/>
        <v>1</v>
      </c>
      <c r="I139" s="11">
        <f t="shared" si="13"/>
        <v>103299840</v>
      </c>
      <c r="J139" s="11">
        <f t="shared" si="16"/>
        <v>32503362</v>
      </c>
      <c r="K139" s="11">
        <f t="shared" si="17"/>
        <v>70796478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364</v>
      </c>
      <c r="H140" s="11">
        <f t="shared" si="15"/>
        <v>1</v>
      </c>
      <c r="I140" s="11">
        <f t="shared" si="13"/>
        <v>544500000</v>
      </c>
      <c r="J140" s="11">
        <f t="shared" si="16"/>
        <v>0</v>
      </c>
      <c r="K140" s="11">
        <f t="shared" si="17"/>
        <v>544500000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351</v>
      </c>
      <c r="H141" s="11">
        <f t="shared" si="15"/>
        <v>0</v>
      </c>
      <c r="I141" s="11">
        <f t="shared" si="13"/>
        <v>0</v>
      </c>
      <c r="J141" s="11">
        <f t="shared" si="16"/>
        <v>-351000000</v>
      </c>
      <c r="K141" s="11">
        <f t="shared" si="17"/>
        <v>351000000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337</v>
      </c>
      <c r="H142" s="11">
        <f t="shared" si="15"/>
        <v>1</v>
      </c>
      <c r="I142" s="11">
        <f t="shared" si="13"/>
        <v>97740048</v>
      </c>
      <c r="J142" s="11">
        <f t="shared" si="16"/>
        <v>27223392</v>
      </c>
      <c r="K142" s="11">
        <f t="shared" si="17"/>
        <v>70516656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317</v>
      </c>
      <c r="H143" s="11">
        <f t="shared" si="15"/>
        <v>0</v>
      </c>
      <c r="I143" s="11">
        <f t="shared" si="13"/>
        <v>0</v>
      </c>
      <c r="J143" s="11">
        <f t="shared" si="16"/>
        <v>-317000000</v>
      </c>
      <c r="K143" s="11">
        <f t="shared" si="17"/>
        <v>317000000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307</v>
      </c>
      <c r="H144" s="11">
        <f t="shared" si="15"/>
        <v>1</v>
      </c>
      <c r="I144" s="11">
        <f t="shared" si="13"/>
        <v>90224712</v>
      </c>
      <c r="J144" s="11">
        <f t="shared" si="16"/>
        <v>22845042</v>
      </c>
      <c r="K144" s="11">
        <f t="shared" si="17"/>
        <v>67379670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292</v>
      </c>
      <c r="H145" s="11">
        <f t="shared" si="15"/>
        <v>0</v>
      </c>
      <c r="I145" s="11">
        <f t="shared" si="13"/>
        <v>-2920000</v>
      </c>
      <c r="J145" s="11">
        <f t="shared" si="16"/>
        <v>-1460000</v>
      </c>
      <c r="K145" s="11">
        <f t="shared" si="17"/>
        <v>-1460000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287</v>
      </c>
      <c r="H146" s="11">
        <f t="shared" si="15"/>
        <v>0</v>
      </c>
      <c r="I146" s="11">
        <f t="shared" si="13"/>
        <v>-287143500</v>
      </c>
      <c r="J146" s="11">
        <f t="shared" si="16"/>
        <v>-287143500</v>
      </c>
      <c r="K146" s="11">
        <f t="shared" si="17"/>
        <v>0</v>
      </c>
    </row>
    <row r="147" spans="1:11">
      <c r="A147" s="11" t="s">
        <v>934</v>
      </c>
      <c r="B147" s="18">
        <v>-27000000</v>
      </c>
      <c r="C147" s="18">
        <v>0</v>
      </c>
      <c r="D147" s="18">
        <f t="shared" si="12"/>
        <v>-27000000</v>
      </c>
      <c r="E147" s="11" t="s">
        <v>1009</v>
      </c>
      <c r="F147" s="11">
        <v>3</v>
      </c>
      <c r="G147" s="36">
        <f t="shared" si="14"/>
        <v>281</v>
      </c>
      <c r="H147" s="11">
        <f t="shared" si="15"/>
        <v>0</v>
      </c>
      <c r="I147" s="11">
        <f t="shared" si="13"/>
        <v>-7587000000</v>
      </c>
      <c r="J147" s="11">
        <f t="shared" si="16"/>
        <v>0</v>
      </c>
      <c r="K147" s="11">
        <f t="shared" si="17"/>
        <v>-7587000000</v>
      </c>
    </row>
    <row r="148" spans="1:11">
      <c r="A148" s="11" t="s">
        <v>1034</v>
      </c>
      <c r="B148" s="18">
        <v>252436</v>
      </c>
      <c r="C148" s="18">
        <v>65510</v>
      </c>
      <c r="D148" s="18">
        <f t="shared" si="12"/>
        <v>186926</v>
      </c>
      <c r="E148" s="11" t="s">
        <v>1036</v>
      </c>
      <c r="F148" s="11">
        <v>8</v>
      </c>
      <c r="G148" s="36">
        <f t="shared" si="14"/>
        <v>278</v>
      </c>
      <c r="H148" s="11">
        <f t="shared" si="15"/>
        <v>1</v>
      </c>
      <c r="I148" s="11">
        <f t="shared" si="13"/>
        <v>69924772</v>
      </c>
      <c r="J148" s="11">
        <f t="shared" si="16"/>
        <v>18146270</v>
      </c>
      <c r="K148" s="11">
        <f t="shared" si="17"/>
        <v>51778502</v>
      </c>
    </row>
    <row r="149" spans="1:11">
      <c r="A149" s="11" t="s">
        <v>1073</v>
      </c>
      <c r="B149" s="18">
        <v>52400000</v>
      </c>
      <c r="C149" s="18">
        <v>0</v>
      </c>
      <c r="D149" s="18">
        <f t="shared" ref="D149:D269" si="18">B149-C149</f>
        <v>52400000</v>
      </c>
      <c r="E149" s="11" t="s">
        <v>1074</v>
      </c>
      <c r="F149" s="11">
        <v>7</v>
      </c>
      <c r="G149" s="36">
        <f t="shared" si="14"/>
        <v>270</v>
      </c>
      <c r="H149" s="11">
        <f t="shared" si="15"/>
        <v>1</v>
      </c>
      <c r="I149" s="11">
        <f t="shared" si="13"/>
        <v>14095600000</v>
      </c>
      <c r="J149" s="11">
        <f t="shared" si="16"/>
        <v>0</v>
      </c>
      <c r="K149" s="11">
        <f t="shared" si="17"/>
        <v>14095600000</v>
      </c>
    </row>
    <row r="150" spans="1:11">
      <c r="A150" s="11" t="s">
        <v>1078</v>
      </c>
      <c r="B150" s="18">
        <v>-52000000</v>
      </c>
      <c r="C150" s="18">
        <v>0</v>
      </c>
      <c r="D150" s="18">
        <f t="shared" si="18"/>
        <v>-52000000</v>
      </c>
      <c r="E150" s="11" t="s">
        <v>1080</v>
      </c>
      <c r="F150" s="11">
        <v>5</v>
      </c>
      <c r="G150" s="36">
        <f t="shared" si="14"/>
        <v>263</v>
      </c>
      <c r="H150" s="11">
        <f t="shared" si="15"/>
        <v>0</v>
      </c>
      <c r="I150" s="11">
        <f t="shared" si="13"/>
        <v>-13676000000</v>
      </c>
      <c r="J150" s="11">
        <f t="shared" si="16"/>
        <v>0</v>
      </c>
      <c r="K150" s="11">
        <f t="shared" si="17"/>
        <v>-13676000000</v>
      </c>
    </row>
    <row r="151" spans="1:11">
      <c r="A151" s="11" t="s">
        <v>1120</v>
      </c>
      <c r="B151" s="18">
        <v>-8000000</v>
      </c>
      <c r="C151" s="18">
        <v>-6772131</v>
      </c>
      <c r="D151" s="18">
        <f t="shared" si="18"/>
        <v>-1227869</v>
      </c>
      <c r="E151" s="11" t="s">
        <v>1109</v>
      </c>
      <c r="F151" s="11">
        <v>0</v>
      </c>
      <c r="G151" s="36">
        <f t="shared" si="14"/>
        <v>258</v>
      </c>
      <c r="H151" s="99">
        <f t="shared" si="15"/>
        <v>0</v>
      </c>
      <c r="I151" s="99">
        <f t="shared" si="13"/>
        <v>-2064000000</v>
      </c>
      <c r="J151" s="99">
        <f t="shared" si="16"/>
        <v>-1747209798</v>
      </c>
      <c r="K151" s="11">
        <f t="shared" si="17"/>
        <v>-316790202</v>
      </c>
    </row>
    <row r="152" spans="1:11">
      <c r="A152" s="11" t="s">
        <v>1120</v>
      </c>
      <c r="B152" s="18">
        <v>-31230</v>
      </c>
      <c r="C152" s="18">
        <v>0</v>
      </c>
      <c r="D152" s="18">
        <f t="shared" si="18"/>
        <v>-31230</v>
      </c>
      <c r="E152" s="11" t="s">
        <v>1121</v>
      </c>
      <c r="F152" s="11">
        <v>11</v>
      </c>
      <c r="G152" s="36">
        <f t="shared" si="14"/>
        <v>258</v>
      </c>
      <c r="H152" s="99">
        <f t="shared" si="15"/>
        <v>0</v>
      </c>
      <c r="I152" s="99">
        <f t="shared" si="13"/>
        <v>-8057340</v>
      </c>
      <c r="J152" s="99">
        <f t="shared" si="16"/>
        <v>0</v>
      </c>
      <c r="K152" s="99">
        <f t="shared" si="17"/>
        <v>-8057340</v>
      </c>
    </row>
    <row r="153" spans="1:11">
      <c r="A153" s="99" t="s">
        <v>1147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247</v>
      </c>
      <c r="H153" s="99">
        <f t="shared" si="15"/>
        <v>1</v>
      </c>
      <c r="I153" s="99">
        <f t="shared" si="13"/>
        <v>33231402</v>
      </c>
      <c r="J153" s="99">
        <f t="shared" si="16"/>
        <v>10117980</v>
      </c>
      <c r="K153" s="99">
        <f t="shared" si="17"/>
        <v>23113422</v>
      </c>
    </row>
    <row r="154" spans="1:11">
      <c r="A154" s="99" t="s">
        <v>1158</v>
      </c>
      <c r="B154" s="18">
        <v>6824082</v>
      </c>
      <c r="C154" s="18">
        <v>6824082</v>
      </c>
      <c r="D154" s="18">
        <f t="shared" si="18"/>
        <v>0</v>
      </c>
      <c r="E154" s="99" t="s">
        <v>1159</v>
      </c>
      <c r="F154" s="99">
        <v>5</v>
      </c>
      <c r="G154" s="36">
        <f t="shared" si="14"/>
        <v>244</v>
      </c>
      <c r="H154" s="99">
        <f t="shared" si="15"/>
        <v>1</v>
      </c>
      <c r="I154" s="99">
        <f t="shared" si="13"/>
        <v>1658251926</v>
      </c>
      <c r="J154" s="99">
        <f t="shared" si="16"/>
        <v>1658251926</v>
      </c>
      <c r="K154" s="99">
        <f t="shared" si="17"/>
        <v>0</v>
      </c>
    </row>
    <row r="155" spans="1:11">
      <c r="A155" s="99" t="s">
        <v>1177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239</v>
      </c>
      <c r="H155" s="99">
        <f t="shared" si="15"/>
        <v>0</v>
      </c>
      <c r="I155" s="99">
        <f t="shared" si="13"/>
        <v>-47800000</v>
      </c>
      <c r="J155" s="99">
        <f t="shared" si="16"/>
        <v>0</v>
      </c>
      <c r="K155" s="99">
        <f t="shared" si="17"/>
        <v>-47800000</v>
      </c>
    </row>
    <row r="156" spans="1:11">
      <c r="A156" s="99" t="s">
        <v>1177</v>
      </c>
      <c r="B156" s="18">
        <v>-247840</v>
      </c>
      <c r="C156" s="18">
        <v>0</v>
      </c>
      <c r="D156" s="18">
        <f t="shared" si="18"/>
        <v>-247840</v>
      </c>
      <c r="E156" s="99" t="s">
        <v>1179</v>
      </c>
      <c r="F156" s="99">
        <v>1</v>
      </c>
      <c r="G156" s="36">
        <f t="shared" si="14"/>
        <v>239</v>
      </c>
      <c r="H156" s="99">
        <f t="shared" si="15"/>
        <v>0</v>
      </c>
      <c r="I156" s="99">
        <f t="shared" si="13"/>
        <v>-59233760</v>
      </c>
      <c r="J156" s="99">
        <f t="shared" si="16"/>
        <v>0</v>
      </c>
      <c r="K156" s="99">
        <f t="shared" si="17"/>
        <v>-59233760</v>
      </c>
    </row>
    <row r="157" spans="1:11">
      <c r="A157" s="99" t="s">
        <v>1183</v>
      </c>
      <c r="B157" s="18">
        <v>-162340</v>
      </c>
      <c r="C157" s="18">
        <v>0</v>
      </c>
      <c r="D157" s="18">
        <f t="shared" si="18"/>
        <v>-162340</v>
      </c>
      <c r="E157" s="99" t="s">
        <v>1184</v>
      </c>
      <c r="F157" s="99">
        <v>0</v>
      </c>
      <c r="G157" s="36">
        <f t="shared" si="14"/>
        <v>238</v>
      </c>
      <c r="H157" s="99">
        <f t="shared" si="15"/>
        <v>0</v>
      </c>
      <c r="I157" s="99">
        <f t="shared" si="13"/>
        <v>-38636920</v>
      </c>
      <c r="J157" s="99">
        <f t="shared" si="16"/>
        <v>0</v>
      </c>
      <c r="K157" s="99">
        <f t="shared" si="17"/>
        <v>-38636920</v>
      </c>
    </row>
    <row r="158" spans="1:11">
      <c r="A158" s="99" t="s">
        <v>1183</v>
      </c>
      <c r="B158" s="18">
        <v>-3000900</v>
      </c>
      <c r="C158" s="18">
        <v>0</v>
      </c>
      <c r="D158" s="18">
        <f t="shared" si="18"/>
        <v>-3000900</v>
      </c>
      <c r="E158" s="99" t="s">
        <v>1185</v>
      </c>
      <c r="F158" s="99">
        <v>2</v>
      </c>
      <c r="G158" s="36">
        <f t="shared" si="14"/>
        <v>238</v>
      </c>
      <c r="H158" s="99">
        <f t="shared" si="15"/>
        <v>0</v>
      </c>
      <c r="I158" s="99">
        <f t="shared" si="13"/>
        <v>-714214200</v>
      </c>
      <c r="J158" s="99">
        <f t="shared" si="16"/>
        <v>0</v>
      </c>
      <c r="K158" s="99">
        <f t="shared" si="17"/>
        <v>-714214200</v>
      </c>
    </row>
    <row r="159" spans="1:11">
      <c r="A159" s="99" t="s">
        <v>1199</v>
      </c>
      <c r="B159" s="18">
        <v>-1000500</v>
      </c>
      <c r="C159" s="18">
        <v>0</v>
      </c>
      <c r="D159" s="18">
        <f t="shared" si="18"/>
        <v>-1000500</v>
      </c>
      <c r="E159" s="99" t="s">
        <v>1200</v>
      </c>
      <c r="F159" s="99">
        <v>4</v>
      </c>
      <c r="G159" s="36">
        <f t="shared" si="14"/>
        <v>236</v>
      </c>
      <c r="H159" s="99">
        <f t="shared" si="15"/>
        <v>0</v>
      </c>
      <c r="I159" s="99">
        <f t="shared" si="13"/>
        <v>-236118000</v>
      </c>
      <c r="J159" s="99">
        <f t="shared" si="16"/>
        <v>0</v>
      </c>
      <c r="K159" s="99">
        <f t="shared" si="17"/>
        <v>-236118000</v>
      </c>
    </row>
    <row r="160" spans="1:11">
      <c r="A160" s="99" t="s">
        <v>1211</v>
      </c>
      <c r="B160" s="18">
        <v>-100000</v>
      </c>
      <c r="C160" s="18">
        <v>0</v>
      </c>
      <c r="D160" s="18">
        <f t="shared" si="18"/>
        <v>-100000</v>
      </c>
      <c r="E160" s="99" t="s">
        <v>1212</v>
      </c>
      <c r="F160" s="99">
        <v>1</v>
      </c>
      <c r="G160" s="36">
        <f t="shared" si="14"/>
        <v>232</v>
      </c>
      <c r="H160" s="99">
        <f t="shared" si="15"/>
        <v>0</v>
      </c>
      <c r="I160" s="99">
        <f t="shared" si="13"/>
        <v>-23200000</v>
      </c>
      <c r="J160" s="99">
        <f t="shared" si="16"/>
        <v>0</v>
      </c>
      <c r="K160" s="99">
        <f t="shared" si="17"/>
        <v>-23200000</v>
      </c>
    </row>
    <row r="161" spans="1:13">
      <c r="A161" s="99" t="s">
        <v>1215</v>
      </c>
      <c r="B161" s="18">
        <v>-2000000</v>
      </c>
      <c r="C161" s="18">
        <v>0</v>
      </c>
      <c r="D161" s="18">
        <f t="shared" si="18"/>
        <v>-2000000</v>
      </c>
      <c r="E161" s="99" t="s">
        <v>1109</v>
      </c>
      <c r="F161" s="99">
        <v>0</v>
      </c>
      <c r="G161" s="36">
        <f t="shared" si="14"/>
        <v>231</v>
      </c>
      <c r="H161" s="99">
        <f t="shared" si="15"/>
        <v>0</v>
      </c>
      <c r="I161" s="99">
        <f t="shared" si="13"/>
        <v>-462000000</v>
      </c>
      <c r="J161" s="99">
        <f t="shared" si="16"/>
        <v>0</v>
      </c>
      <c r="K161" s="99">
        <f t="shared" si="17"/>
        <v>-462000000</v>
      </c>
    </row>
    <row r="162" spans="1:13">
      <c r="A162" s="99" t="s">
        <v>1215</v>
      </c>
      <c r="B162" s="18">
        <v>-1000500</v>
      </c>
      <c r="C162" s="18">
        <v>0</v>
      </c>
      <c r="D162" s="18">
        <f t="shared" si="18"/>
        <v>-1000500</v>
      </c>
      <c r="E162" s="99" t="s">
        <v>1222</v>
      </c>
      <c r="F162" s="99">
        <v>3</v>
      </c>
      <c r="G162" s="36">
        <f t="shared" si="14"/>
        <v>231</v>
      </c>
      <c r="H162" s="99">
        <f t="shared" si="15"/>
        <v>0</v>
      </c>
      <c r="I162" s="99">
        <f t="shared" si="13"/>
        <v>-231115500</v>
      </c>
      <c r="J162" s="99">
        <f t="shared" si="16"/>
        <v>0</v>
      </c>
      <c r="K162" s="99">
        <f t="shared" si="17"/>
        <v>-231115500</v>
      </c>
    </row>
    <row r="163" spans="1:13">
      <c r="A163" s="99" t="s">
        <v>1225</v>
      </c>
      <c r="B163" s="18">
        <v>-5000</v>
      </c>
      <c r="C163" s="18">
        <v>0</v>
      </c>
      <c r="D163" s="18">
        <f t="shared" si="18"/>
        <v>-5000</v>
      </c>
      <c r="E163" s="99" t="s">
        <v>1212</v>
      </c>
      <c r="F163" s="99">
        <v>10</v>
      </c>
      <c r="G163" s="36">
        <f t="shared" si="14"/>
        <v>228</v>
      </c>
      <c r="H163" s="99">
        <f t="shared" si="15"/>
        <v>0</v>
      </c>
      <c r="I163" s="99">
        <f t="shared" si="13"/>
        <v>-1140000</v>
      </c>
      <c r="J163" s="99">
        <f t="shared" si="16"/>
        <v>0</v>
      </c>
      <c r="K163" s="99">
        <f t="shared" si="17"/>
        <v>-1140000</v>
      </c>
    </row>
    <row r="164" spans="1:13">
      <c r="A164" s="99" t="s">
        <v>3668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218</v>
      </c>
      <c r="H164" s="99">
        <f t="shared" si="15"/>
        <v>1</v>
      </c>
      <c r="I164" s="99">
        <f t="shared" si="13"/>
        <v>651000000</v>
      </c>
      <c r="J164" s="99">
        <f t="shared" si="16"/>
        <v>0</v>
      </c>
      <c r="K164" s="99">
        <f t="shared" si="17"/>
        <v>651000000</v>
      </c>
    </row>
    <row r="165" spans="1:13">
      <c r="A165" s="99" t="s">
        <v>3672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217</v>
      </c>
      <c r="H165" s="99">
        <f t="shared" si="15"/>
        <v>1</v>
      </c>
      <c r="I165" s="99">
        <f t="shared" si="13"/>
        <v>648000000</v>
      </c>
      <c r="J165" s="99">
        <f t="shared" si="16"/>
        <v>0</v>
      </c>
      <c r="K165" s="99">
        <f t="shared" si="17"/>
        <v>648000000</v>
      </c>
    </row>
    <row r="166" spans="1:13">
      <c r="A166" s="99" t="s">
        <v>3674</v>
      </c>
      <c r="B166" s="18">
        <v>20314</v>
      </c>
      <c r="C166" s="18">
        <v>59842</v>
      </c>
      <c r="D166" s="18">
        <f t="shared" si="18"/>
        <v>-39528</v>
      </c>
      <c r="E166" s="99" t="s">
        <v>3677</v>
      </c>
      <c r="F166" s="99">
        <v>5</v>
      </c>
      <c r="G166" s="36">
        <f t="shared" si="14"/>
        <v>216</v>
      </c>
      <c r="H166" s="99">
        <f t="shared" si="15"/>
        <v>1</v>
      </c>
      <c r="I166" s="99">
        <f t="shared" si="13"/>
        <v>4367510</v>
      </c>
      <c r="J166" s="99">
        <f t="shared" si="16"/>
        <v>12866030</v>
      </c>
      <c r="K166" s="99">
        <f t="shared" si="17"/>
        <v>-8498520</v>
      </c>
    </row>
    <row r="167" spans="1:13">
      <c r="A167" s="99" t="s">
        <v>3697</v>
      </c>
      <c r="B167" s="18">
        <v>-3000900</v>
      </c>
      <c r="C167" s="18">
        <v>0</v>
      </c>
      <c r="D167" s="18">
        <f t="shared" si="18"/>
        <v>-3000900</v>
      </c>
      <c r="E167" s="99" t="s">
        <v>3698</v>
      </c>
      <c r="F167" s="99">
        <v>18</v>
      </c>
      <c r="G167" s="36">
        <f t="shared" si="14"/>
        <v>211</v>
      </c>
      <c r="H167" s="99">
        <f t="shared" si="15"/>
        <v>0</v>
      </c>
      <c r="I167" s="99">
        <f t="shared" si="13"/>
        <v>-633189900</v>
      </c>
      <c r="J167" s="99">
        <f t="shared" si="16"/>
        <v>0</v>
      </c>
      <c r="K167" s="99">
        <f t="shared" si="17"/>
        <v>-633189900</v>
      </c>
    </row>
    <row r="168" spans="1:13">
      <c r="A168" s="99" t="s">
        <v>3774</v>
      </c>
      <c r="B168" s="18">
        <v>-3000900</v>
      </c>
      <c r="C168" s="18">
        <v>0</v>
      </c>
      <c r="D168" s="18">
        <f t="shared" si="18"/>
        <v>-3000900</v>
      </c>
      <c r="E168" s="99" t="s">
        <v>3775</v>
      </c>
      <c r="F168" s="99">
        <v>8</v>
      </c>
      <c r="G168" s="36">
        <f t="shared" si="14"/>
        <v>193</v>
      </c>
      <c r="H168" s="99">
        <f t="shared" si="15"/>
        <v>0</v>
      </c>
      <c r="I168" s="99">
        <f t="shared" si="13"/>
        <v>-579173700</v>
      </c>
      <c r="J168" s="99">
        <f t="shared" si="16"/>
        <v>0</v>
      </c>
      <c r="K168" s="99">
        <f t="shared" si="17"/>
        <v>-579173700</v>
      </c>
      <c r="M168" t="s">
        <v>25</v>
      </c>
    </row>
    <row r="169" spans="1:13">
      <c r="A169" s="99" t="s">
        <v>3806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185</v>
      </c>
      <c r="H169" s="99">
        <f t="shared" si="15"/>
        <v>1</v>
      </c>
      <c r="I169" s="99">
        <f t="shared" si="13"/>
        <v>3993720</v>
      </c>
      <c r="J169" s="99">
        <f t="shared" si="16"/>
        <v>12606760</v>
      </c>
      <c r="K169" s="99">
        <f t="shared" si="17"/>
        <v>-8613040</v>
      </c>
    </row>
    <row r="170" spans="1:13">
      <c r="A170" s="99" t="s">
        <v>3928</v>
      </c>
      <c r="B170" s="18">
        <v>5000000</v>
      </c>
      <c r="C170" s="18">
        <v>0</v>
      </c>
      <c r="D170" s="18">
        <f t="shared" si="18"/>
        <v>5000000</v>
      </c>
      <c r="E170" s="99" t="s">
        <v>3893</v>
      </c>
      <c r="F170" s="99">
        <v>1</v>
      </c>
      <c r="G170" s="36">
        <f t="shared" si="14"/>
        <v>161</v>
      </c>
      <c r="H170" s="99">
        <f t="shared" si="15"/>
        <v>1</v>
      </c>
      <c r="I170" s="99">
        <f t="shared" si="13"/>
        <v>800000000</v>
      </c>
      <c r="J170" s="99">
        <f t="shared" si="16"/>
        <v>0</v>
      </c>
      <c r="K170" s="99">
        <f t="shared" si="17"/>
        <v>800000000</v>
      </c>
    </row>
    <row r="171" spans="1:13">
      <c r="A171" s="99" t="s">
        <v>3933</v>
      </c>
      <c r="B171" s="18">
        <v>-5000000</v>
      </c>
      <c r="C171" s="18">
        <v>0</v>
      </c>
      <c r="D171" s="18">
        <f t="shared" si="18"/>
        <v>-5000000</v>
      </c>
      <c r="E171" s="99" t="s">
        <v>3934</v>
      </c>
      <c r="F171" s="99">
        <v>6</v>
      </c>
      <c r="G171" s="36">
        <f t="shared" si="14"/>
        <v>160</v>
      </c>
      <c r="H171" s="99">
        <f t="shared" si="15"/>
        <v>0</v>
      </c>
      <c r="I171" s="99">
        <f t="shared" si="13"/>
        <v>-800000000</v>
      </c>
      <c r="J171" s="99">
        <f t="shared" si="16"/>
        <v>0</v>
      </c>
      <c r="K171" s="99">
        <f t="shared" si="17"/>
        <v>-800000000</v>
      </c>
    </row>
    <row r="172" spans="1:13">
      <c r="A172" s="99" t="s">
        <v>3957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154</v>
      </c>
      <c r="H172" s="99">
        <f t="shared" si="15"/>
        <v>1</v>
      </c>
      <c r="I172" s="99">
        <f t="shared" si="13"/>
        <v>75888</v>
      </c>
      <c r="J172" s="99">
        <f t="shared" si="16"/>
        <v>9590193</v>
      </c>
      <c r="K172" s="99">
        <f t="shared" si="17"/>
        <v>-9514305</v>
      </c>
    </row>
    <row r="173" spans="1:13">
      <c r="A173" s="99" t="s">
        <v>3982</v>
      </c>
      <c r="B173" s="18">
        <v>785000</v>
      </c>
      <c r="C173" s="18">
        <v>0</v>
      </c>
      <c r="D173" s="18">
        <f t="shared" si="18"/>
        <v>785000</v>
      </c>
      <c r="E173" s="99" t="s">
        <v>3983</v>
      </c>
      <c r="F173" s="99">
        <v>11</v>
      </c>
      <c r="G173" s="36">
        <f t="shared" si="14"/>
        <v>153</v>
      </c>
      <c r="H173" s="99">
        <f t="shared" si="15"/>
        <v>1</v>
      </c>
      <c r="I173" s="99">
        <f t="shared" si="13"/>
        <v>119320000</v>
      </c>
      <c r="J173" s="99">
        <f t="shared" si="16"/>
        <v>0</v>
      </c>
      <c r="K173" s="99">
        <f t="shared" si="17"/>
        <v>119320000</v>
      </c>
    </row>
    <row r="174" spans="1:13">
      <c r="A174" s="11" t="s">
        <v>3982</v>
      </c>
      <c r="B174" s="18">
        <v>-32000</v>
      </c>
      <c r="C174" s="18">
        <v>0</v>
      </c>
      <c r="D174" s="18">
        <f t="shared" si="18"/>
        <v>-32000</v>
      </c>
      <c r="E174" s="11" t="s">
        <v>3965</v>
      </c>
      <c r="F174" s="11">
        <v>2</v>
      </c>
      <c r="G174" s="36">
        <f t="shared" si="14"/>
        <v>142</v>
      </c>
      <c r="H174" s="99">
        <f t="shared" si="15"/>
        <v>0</v>
      </c>
      <c r="I174" s="99">
        <f t="shared" si="13"/>
        <v>-4544000</v>
      </c>
      <c r="J174" s="99">
        <f t="shared" si="16"/>
        <v>0</v>
      </c>
      <c r="K174" s="99">
        <f t="shared" si="17"/>
        <v>-4544000</v>
      </c>
    </row>
    <row r="175" spans="1:13">
      <c r="A175" s="99" t="s">
        <v>3984</v>
      </c>
      <c r="B175" s="18">
        <v>-750000</v>
      </c>
      <c r="C175" s="18">
        <v>0</v>
      </c>
      <c r="D175" s="18">
        <f t="shared" si="18"/>
        <v>-750000</v>
      </c>
      <c r="E175" s="99" t="s">
        <v>3772</v>
      </c>
      <c r="F175" s="99">
        <v>9</v>
      </c>
      <c r="G175" s="36">
        <f t="shared" si="14"/>
        <v>140</v>
      </c>
      <c r="H175" s="99">
        <f t="shared" si="15"/>
        <v>0</v>
      </c>
      <c r="I175" s="99">
        <f t="shared" si="13"/>
        <v>-105000000</v>
      </c>
      <c r="J175" s="99">
        <f t="shared" si="16"/>
        <v>0</v>
      </c>
      <c r="K175" s="99">
        <f t="shared" si="17"/>
        <v>-105000000</v>
      </c>
    </row>
    <row r="176" spans="1:13">
      <c r="A176" s="99" t="s">
        <v>4016</v>
      </c>
      <c r="B176" s="18">
        <v>-9396</v>
      </c>
      <c r="C176" s="18">
        <v>0</v>
      </c>
      <c r="D176" s="18">
        <f t="shared" si="18"/>
        <v>-9396</v>
      </c>
      <c r="E176" s="99" t="s">
        <v>4017</v>
      </c>
      <c r="F176" s="99">
        <v>1</v>
      </c>
      <c r="G176" s="36">
        <f t="shared" si="14"/>
        <v>131</v>
      </c>
      <c r="H176" s="99">
        <f t="shared" si="15"/>
        <v>0</v>
      </c>
      <c r="I176" s="99">
        <f t="shared" si="13"/>
        <v>-1230876</v>
      </c>
      <c r="J176" s="99">
        <f t="shared" si="16"/>
        <v>0</v>
      </c>
      <c r="K176" s="99">
        <f t="shared" si="17"/>
        <v>-1230876</v>
      </c>
    </row>
    <row r="177" spans="1:14">
      <c r="A177" s="99" t="s">
        <v>4020</v>
      </c>
      <c r="B177" s="18">
        <v>-43300</v>
      </c>
      <c r="C177" s="18">
        <v>0</v>
      </c>
      <c r="D177" s="18">
        <f t="shared" si="18"/>
        <v>-43300</v>
      </c>
      <c r="E177" s="99" t="s">
        <v>4022</v>
      </c>
      <c r="F177" s="99">
        <v>3</v>
      </c>
      <c r="G177" s="36">
        <f t="shared" si="14"/>
        <v>130</v>
      </c>
      <c r="H177" s="99">
        <f t="shared" si="15"/>
        <v>0</v>
      </c>
      <c r="I177" s="99">
        <f t="shared" si="13"/>
        <v>-5629000</v>
      </c>
      <c r="J177" s="99">
        <f t="shared" si="16"/>
        <v>0</v>
      </c>
      <c r="K177" s="99">
        <f t="shared" si="17"/>
        <v>-5629000</v>
      </c>
    </row>
    <row r="178" spans="1:14">
      <c r="A178" s="99" t="s">
        <v>3689</v>
      </c>
      <c r="B178" s="18">
        <v>360000</v>
      </c>
      <c r="C178" s="18">
        <v>0</v>
      </c>
      <c r="D178" s="18">
        <f t="shared" si="18"/>
        <v>360000</v>
      </c>
      <c r="E178" s="99" t="s">
        <v>4033</v>
      </c>
      <c r="F178" s="99">
        <v>2</v>
      </c>
      <c r="G178" s="36">
        <f t="shared" si="14"/>
        <v>127</v>
      </c>
      <c r="H178" s="99">
        <f t="shared" si="15"/>
        <v>1</v>
      </c>
      <c r="I178" s="99">
        <f t="shared" si="13"/>
        <v>45360000</v>
      </c>
      <c r="J178" s="99">
        <f t="shared" si="16"/>
        <v>0</v>
      </c>
      <c r="K178" s="99">
        <f t="shared" si="17"/>
        <v>45360000</v>
      </c>
    </row>
    <row r="179" spans="1:14">
      <c r="A179" s="99" t="s">
        <v>4035</v>
      </c>
      <c r="B179" s="18">
        <v>3000000</v>
      </c>
      <c r="C179" s="18">
        <v>0</v>
      </c>
      <c r="D179" s="18">
        <f t="shared" si="18"/>
        <v>3000000</v>
      </c>
      <c r="E179" s="99" t="s">
        <v>4036</v>
      </c>
      <c r="F179" s="99">
        <v>0</v>
      </c>
      <c r="G179" s="36">
        <f t="shared" si="14"/>
        <v>125</v>
      </c>
      <c r="H179" s="99">
        <f t="shared" si="15"/>
        <v>1</v>
      </c>
      <c r="I179" s="99">
        <f t="shared" si="13"/>
        <v>372000000</v>
      </c>
      <c r="J179" s="99">
        <f t="shared" si="16"/>
        <v>0</v>
      </c>
      <c r="K179" s="99">
        <f t="shared" si="17"/>
        <v>372000000</v>
      </c>
    </row>
    <row r="180" spans="1:14">
      <c r="A180" s="99" t="s">
        <v>4035</v>
      </c>
      <c r="B180" s="18">
        <v>-12050</v>
      </c>
      <c r="C180" s="18">
        <v>0</v>
      </c>
      <c r="D180" s="18">
        <f t="shared" si="18"/>
        <v>-12050</v>
      </c>
      <c r="E180" s="99" t="s">
        <v>4017</v>
      </c>
      <c r="F180" s="99">
        <v>2</v>
      </c>
      <c r="G180" s="36">
        <f t="shared" si="14"/>
        <v>125</v>
      </c>
      <c r="H180" s="99">
        <f t="shared" si="15"/>
        <v>0</v>
      </c>
      <c r="I180" s="99">
        <f t="shared" si="13"/>
        <v>-1506250</v>
      </c>
      <c r="J180" s="99">
        <f t="shared" si="16"/>
        <v>0</v>
      </c>
      <c r="K180" s="99">
        <f t="shared" si="17"/>
        <v>-1506250</v>
      </c>
    </row>
    <row r="181" spans="1:14">
      <c r="A181" s="99" t="s">
        <v>4040</v>
      </c>
      <c r="B181" s="18">
        <v>3000000</v>
      </c>
      <c r="C181" s="18">
        <v>0</v>
      </c>
      <c r="D181" s="18">
        <f t="shared" si="18"/>
        <v>3000000</v>
      </c>
      <c r="E181" s="99" t="s">
        <v>4041</v>
      </c>
      <c r="F181" s="99">
        <v>2</v>
      </c>
      <c r="G181" s="36">
        <f t="shared" si="14"/>
        <v>123</v>
      </c>
      <c r="H181" s="99">
        <f t="shared" si="15"/>
        <v>1</v>
      </c>
      <c r="I181" s="99">
        <f t="shared" si="13"/>
        <v>366000000</v>
      </c>
      <c r="J181" s="99">
        <f t="shared" si="16"/>
        <v>0</v>
      </c>
      <c r="K181" s="99">
        <f t="shared" si="17"/>
        <v>366000000</v>
      </c>
    </row>
    <row r="182" spans="1:14">
      <c r="A182" s="99" t="s">
        <v>4048</v>
      </c>
      <c r="B182" s="18">
        <v>-35800</v>
      </c>
      <c r="C182" s="18">
        <v>0</v>
      </c>
      <c r="D182" s="18">
        <f t="shared" si="18"/>
        <v>-35800</v>
      </c>
      <c r="E182" s="99" t="s">
        <v>4049</v>
      </c>
      <c r="F182" s="99">
        <v>1</v>
      </c>
      <c r="G182" s="36">
        <f t="shared" si="14"/>
        <v>121</v>
      </c>
      <c r="H182" s="99">
        <f t="shared" si="15"/>
        <v>0</v>
      </c>
      <c r="I182" s="99">
        <f t="shared" si="13"/>
        <v>-4331800</v>
      </c>
      <c r="J182" s="99">
        <f t="shared" si="16"/>
        <v>0</v>
      </c>
      <c r="K182" s="99">
        <f t="shared" si="17"/>
        <v>-4331800</v>
      </c>
      <c r="N182" t="s">
        <v>25</v>
      </c>
    </row>
    <row r="183" spans="1:14">
      <c r="A183" s="99" t="s">
        <v>4047</v>
      </c>
      <c r="B183" s="18">
        <v>3600000</v>
      </c>
      <c r="C183" s="18">
        <v>0</v>
      </c>
      <c r="D183" s="18">
        <f t="shared" si="18"/>
        <v>3600000</v>
      </c>
      <c r="E183" s="99" t="s">
        <v>4050</v>
      </c>
      <c r="F183" s="99">
        <v>0</v>
      </c>
      <c r="G183" s="36">
        <f t="shared" si="14"/>
        <v>120</v>
      </c>
      <c r="H183" s="99">
        <f t="shared" si="15"/>
        <v>1</v>
      </c>
      <c r="I183" s="99">
        <f t="shared" si="13"/>
        <v>428400000</v>
      </c>
      <c r="J183" s="99">
        <f t="shared" si="16"/>
        <v>0</v>
      </c>
      <c r="K183" s="99">
        <f t="shared" si="17"/>
        <v>428400000</v>
      </c>
    </row>
    <row r="184" spans="1:14">
      <c r="A184" s="99" t="s">
        <v>4047</v>
      </c>
      <c r="B184" s="18">
        <v>-33377</v>
      </c>
      <c r="C184" s="18">
        <v>0</v>
      </c>
      <c r="D184" s="18">
        <f t="shared" si="18"/>
        <v>-33377</v>
      </c>
      <c r="E184" s="99" t="s">
        <v>4051</v>
      </c>
      <c r="F184" s="99">
        <v>3</v>
      </c>
      <c r="G184" s="36">
        <f t="shared" si="14"/>
        <v>120</v>
      </c>
      <c r="H184" s="99">
        <f t="shared" si="15"/>
        <v>0</v>
      </c>
      <c r="I184" s="99">
        <f t="shared" si="13"/>
        <v>-4005240</v>
      </c>
      <c r="J184" s="99">
        <f t="shared" si="16"/>
        <v>0</v>
      </c>
      <c r="K184" s="99">
        <f t="shared" si="17"/>
        <v>-4005240</v>
      </c>
    </row>
    <row r="185" spans="1:14">
      <c r="A185" s="99" t="s">
        <v>4070</v>
      </c>
      <c r="B185" s="18">
        <v>-9800000</v>
      </c>
      <c r="C185" s="18">
        <v>0</v>
      </c>
      <c r="D185" s="18">
        <f t="shared" si="18"/>
        <v>-9800000</v>
      </c>
      <c r="E185" s="99" t="s">
        <v>1219</v>
      </c>
      <c r="F185" s="99">
        <v>0</v>
      </c>
      <c r="G185" s="36">
        <f t="shared" si="14"/>
        <v>117</v>
      </c>
      <c r="H185" s="99">
        <f t="shared" si="15"/>
        <v>0</v>
      </c>
      <c r="I185" s="99">
        <f t="shared" si="13"/>
        <v>-1146600000</v>
      </c>
      <c r="J185" s="99">
        <f t="shared" si="16"/>
        <v>0</v>
      </c>
      <c r="K185" s="99">
        <f t="shared" si="17"/>
        <v>-1146600000</v>
      </c>
    </row>
    <row r="186" spans="1:14">
      <c r="A186" s="99" t="s">
        <v>4070</v>
      </c>
      <c r="B186" s="18">
        <v>18000000</v>
      </c>
      <c r="C186" s="18">
        <v>0</v>
      </c>
      <c r="D186" s="18">
        <f t="shared" si="18"/>
        <v>18000000</v>
      </c>
      <c r="E186" s="99" t="s">
        <v>4072</v>
      </c>
      <c r="F186" s="99">
        <v>0</v>
      </c>
      <c r="G186" s="36">
        <f t="shared" si="14"/>
        <v>117</v>
      </c>
      <c r="H186" s="99">
        <f t="shared" si="15"/>
        <v>1</v>
      </c>
      <c r="I186" s="99">
        <f t="shared" si="13"/>
        <v>2088000000</v>
      </c>
      <c r="J186" s="99">
        <f t="shared" si="16"/>
        <v>0</v>
      </c>
      <c r="K186" s="99">
        <f t="shared" si="17"/>
        <v>2088000000</v>
      </c>
    </row>
    <row r="187" spans="1:14">
      <c r="A187" s="99" t="s">
        <v>4070</v>
      </c>
      <c r="B187" s="18">
        <v>-9000000</v>
      </c>
      <c r="C187" s="18">
        <v>0</v>
      </c>
      <c r="D187" s="18">
        <f t="shared" si="18"/>
        <v>-9000000</v>
      </c>
      <c r="E187" s="99" t="s">
        <v>1219</v>
      </c>
      <c r="F187" s="99">
        <v>0</v>
      </c>
      <c r="G187" s="36">
        <f t="shared" si="14"/>
        <v>117</v>
      </c>
      <c r="H187" s="99">
        <f t="shared" si="15"/>
        <v>0</v>
      </c>
      <c r="I187" s="99">
        <f t="shared" si="13"/>
        <v>-1053000000</v>
      </c>
      <c r="J187" s="99">
        <f t="shared" si="16"/>
        <v>0</v>
      </c>
      <c r="K187" s="99">
        <f t="shared" si="17"/>
        <v>-1053000000</v>
      </c>
    </row>
    <row r="188" spans="1:14">
      <c r="A188" s="99" t="s">
        <v>4070</v>
      </c>
      <c r="B188" s="18">
        <v>-11600</v>
      </c>
      <c r="C188" s="18">
        <v>0</v>
      </c>
      <c r="D188" s="18">
        <f t="shared" si="18"/>
        <v>-11600</v>
      </c>
      <c r="E188" s="99" t="s">
        <v>3944</v>
      </c>
      <c r="F188" s="99">
        <v>0</v>
      </c>
      <c r="G188" s="36">
        <f t="shared" si="14"/>
        <v>117</v>
      </c>
      <c r="H188" s="99">
        <f t="shared" si="15"/>
        <v>0</v>
      </c>
      <c r="I188" s="99">
        <f t="shared" si="13"/>
        <v>-1357200</v>
      </c>
      <c r="J188" s="99">
        <f t="shared" si="16"/>
        <v>0</v>
      </c>
      <c r="K188" s="99">
        <f t="shared" si="17"/>
        <v>-1357200</v>
      </c>
    </row>
    <row r="189" spans="1:14">
      <c r="A189" s="99" t="s">
        <v>4070</v>
      </c>
      <c r="B189" s="18">
        <v>-3304327</v>
      </c>
      <c r="C189" s="18">
        <v>0</v>
      </c>
      <c r="D189" s="18">
        <f t="shared" si="18"/>
        <v>-3304327</v>
      </c>
      <c r="E189" s="99" t="s">
        <v>4073</v>
      </c>
      <c r="F189" s="99">
        <v>1</v>
      </c>
      <c r="G189" s="36">
        <f t="shared" si="14"/>
        <v>117</v>
      </c>
      <c r="H189" s="99">
        <f t="shared" si="15"/>
        <v>0</v>
      </c>
      <c r="I189" s="99">
        <f t="shared" si="13"/>
        <v>-386606259</v>
      </c>
      <c r="J189" s="99">
        <f t="shared" si="16"/>
        <v>0</v>
      </c>
      <c r="K189" s="99">
        <f t="shared" si="17"/>
        <v>-386606259</v>
      </c>
    </row>
    <row r="190" spans="1:14">
      <c r="A190" s="99" t="s">
        <v>4079</v>
      </c>
      <c r="B190" s="18">
        <v>-3000900</v>
      </c>
      <c r="C190" s="18">
        <v>0</v>
      </c>
      <c r="D190" s="18">
        <f t="shared" si="18"/>
        <v>-3000900</v>
      </c>
      <c r="E190" s="99" t="s">
        <v>4080</v>
      </c>
      <c r="F190" s="99">
        <v>1</v>
      </c>
      <c r="G190" s="36">
        <f t="shared" si="14"/>
        <v>116</v>
      </c>
      <c r="H190" s="99">
        <f t="shared" si="15"/>
        <v>0</v>
      </c>
      <c r="I190" s="99">
        <f t="shared" si="13"/>
        <v>-348104400</v>
      </c>
      <c r="J190" s="99">
        <f t="shared" si="16"/>
        <v>0</v>
      </c>
      <c r="K190" s="99">
        <f t="shared" si="17"/>
        <v>-348104400</v>
      </c>
    </row>
    <row r="191" spans="1:14">
      <c r="A191" s="99" t="s">
        <v>4084</v>
      </c>
      <c r="B191" s="18">
        <v>-2760900</v>
      </c>
      <c r="C191" s="18">
        <v>0</v>
      </c>
      <c r="D191" s="18">
        <f t="shared" si="18"/>
        <v>-2760900</v>
      </c>
      <c r="E191" s="99" t="s">
        <v>4085</v>
      </c>
      <c r="F191" s="99">
        <v>5</v>
      </c>
      <c r="G191" s="36">
        <f t="shared" si="14"/>
        <v>115</v>
      </c>
      <c r="H191" s="99">
        <f t="shared" si="15"/>
        <v>0</v>
      </c>
      <c r="I191" s="99">
        <f t="shared" si="13"/>
        <v>-317503500</v>
      </c>
      <c r="J191" s="99">
        <f t="shared" si="16"/>
        <v>0</v>
      </c>
      <c r="K191" s="99">
        <f t="shared" si="17"/>
        <v>-317503500</v>
      </c>
    </row>
    <row r="192" spans="1:14">
      <c r="A192" s="99" t="s">
        <v>4098</v>
      </c>
      <c r="B192" s="18">
        <v>1000000</v>
      </c>
      <c r="C192" s="18">
        <v>0</v>
      </c>
      <c r="D192" s="18">
        <f t="shared" si="18"/>
        <v>1000000</v>
      </c>
      <c r="E192" s="99" t="s">
        <v>4077</v>
      </c>
      <c r="F192" s="99">
        <v>1</v>
      </c>
      <c r="G192" s="36">
        <f t="shared" si="14"/>
        <v>110</v>
      </c>
      <c r="H192" s="99">
        <f t="shared" si="15"/>
        <v>1</v>
      </c>
      <c r="I192" s="99">
        <f t="shared" si="13"/>
        <v>109000000</v>
      </c>
      <c r="J192" s="99">
        <f t="shared" si="16"/>
        <v>0</v>
      </c>
      <c r="K192" s="99">
        <f t="shared" si="17"/>
        <v>109000000</v>
      </c>
    </row>
    <row r="193" spans="1:11">
      <c r="A193" s="99" t="s">
        <v>4114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109</v>
      </c>
      <c r="H193" s="99">
        <f t="shared" si="15"/>
        <v>0</v>
      </c>
      <c r="I193" s="99">
        <f t="shared" si="13"/>
        <v>-1635000</v>
      </c>
      <c r="J193" s="99">
        <f t="shared" si="16"/>
        <v>0</v>
      </c>
      <c r="K193" s="99">
        <f t="shared" si="17"/>
        <v>-1635000</v>
      </c>
    </row>
    <row r="194" spans="1:11">
      <c r="A194" s="99" t="s">
        <v>4110</v>
      </c>
      <c r="B194" s="18">
        <v>-990000</v>
      </c>
      <c r="C194" s="18">
        <v>0</v>
      </c>
      <c r="D194" s="18">
        <f t="shared" si="18"/>
        <v>-990000</v>
      </c>
      <c r="E194" s="99" t="s">
        <v>3772</v>
      </c>
      <c r="F194" s="99">
        <v>0</v>
      </c>
      <c r="G194" s="36">
        <f t="shared" si="14"/>
        <v>107</v>
      </c>
      <c r="H194" s="99">
        <f t="shared" si="15"/>
        <v>0</v>
      </c>
      <c r="I194" s="99">
        <f t="shared" si="13"/>
        <v>-105930000</v>
      </c>
      <c r="J194" s="99">
        <f t="shared" si="16"/>
        <v>0</v>
      </c>
      <c r="K194" s="99">
        <f t="shared" si="17"/>
        <v>-105930000</v>
      </c>
    </row>
    <row r="195" spans="1:11">
      <c r="A195" s="99" t="s">
        <v>4110</v>
      </c>
      <c r="B195" s="18">
        <v>783000</v>
      </c>
      <c r="C195" s="18">
        <v>0</v>
      </c>
      <c r="D195" s="18">
        <f t="shared" si="18"/>
        <v>783000</v>
      </c>
      <c r="E195" s="99" t="s">
        <v>4117</v>
      </c>
      <c r="F195" s="99">
        <v>2</v>
      </c>
      <c r="G195" s="36">
        <f t="shared" si="14"/>
        <v>107</v>
      </c>
      <c r="H195" s="99">
        <f t="shared" si="15"/>
        <v>1</v>
      </c>
      <c r="I195" s="99">
        <f t="shared" si="13"/>
        <v>82998000</v>
      </c>
      <c r="J195" s="99">
        <f t="shared" si="16"/>
        <v>0</v>
      </c>
      <c r="K195" s="99">
        <f t="shared" si="17"/>
        <v>82998000</v>
      </c>
    </row>
    <row r="196" spans="1:11">
      <c r="A196" s="99" t="s">
        <v>4120</v>
      </c>
      <c r="B196" s="18">
        <v>-750500</v>
      </c>
      <c r="C196" s="18">
        <v>0</v>
      </c>
      <c r="D196" s="18">
        <f t="shared" si="18"/>
        <v>-750500</v>
      </c>
      <c r="E196" s="99" t="s">
        <v>4121</v>
      </c>
      <c r="F196" s="99">
        <v>2</v>
      </c>
      <c r="G196" s="36">
        <f t="shared" si="14"/>
        <v>105</v>
      </c>
      <c r="H196" s="99">
        <f t="shared" si="15"/>
        <v>0</v>
      </c>
      <c r="I196" s="99">
        <f t="shared" si="13"/>
        <v>-78802500</v>
      </c>
      <c r="J196" s="99">
        <f t="shared" si="16"/>
        <v>0</v>
      </c>
      <c r="K196" s="99">
        <f t="shared" si="17"/>
        <v>-78802500</v>
      </c>
    </row>
    <row r="197" spans="1:11">
      <c r="A197" s="99" t="s">
        <v>4133</v>
      </c>
      <c r="B197" s="18">
        <v>700000</v>
      </c>
      <c r="C197" s="18">
        <v>0</v>
      </c>
      <c r="D197" s="18">
        <f t="shared" si="18"/>
        <v>700000</v>
      </c>
      <c r="E197" s="99" t="s">
        <v>3893</v>
      </c>
      <c r="F197" s="99">
        <v>0</v>
      </c>
      <c r="G197" s="36">
        <f t="shared" si="14"/>
        <v>103</v>
      </c>
      <c r="H197" s="99">
        <f t="shared" si="15"/>
        <v>1</v>
      </c>
      <c r="I197" s="99">
        <f t="shared" si="13"/>
        <v>71400000</v>
      </c>
      <c r="J197" s="99">
        <f t="shared" si="16"/>
        <v>0</v>
      </c>
      <c r="K197" s="99">
        <f t="shared" si="17"/>
        <v>71400000</v>
      </c>
    </row>
    <row r="198" spans="1:11">
      <c r="A198" s="99" t="s">
        <v>4133</v>
      </c>
      <c r="B198" s="18">
        <v>-99000</v>
      </c>
      <c r="C198" s="18">
        <v>0</v>
      </c>
      <c r="D198" s="18">
        <f t="shared" si="18"/>
        <v>-99000</v>
      </c>
      <c r="E198" s="99" t="s">
        <v>4135</v>
      </c>
      <c r="F198" s="99">
        <v>1</v>
      </c>
      <c r="G198" s="36">
        <f t="shared" si="14"/>
        <v>103</v>
      </c>
      <c r="H198" s="99">
        <f t="shared" si="15"/>
        <v>0</v>
      </c>
      <c r="I198" s="99">
        <f t="shared" si="13"/>
        <v>-10197000</v>
      </c>
      <c r="J198" s="99">
        <f t="shared" si="16"/>
        <v>0</v>
      </c>
      <c r="K198" s="99">
        <f t="shared" si="17"/>
        <v>-10197000</v>
      </c>
    </row>
    <row r="199" spans="1:11">
      <c r="A199" s="99" t="s">
        <v>4136</v>
      </c>
      <c r="B199" s="18">
        <v>-205750</v>
      </c>
      <c r="C199" s="18">
        <v>0</v>
      </c>
      <c r="D199" s="18">
        <f t="shared" si="18"/>
        <v>-205750</v>
      </c>
      <c r="E199" s="99" t="s">
        <v>4137</v>
      </c>
      <c r="F199" s="99">
        <v>0</v>
      </c>
      <c r="G199" s="36">
        <f t="shared" si="14"/>
        <v>102</v>
      </c>
      <c r="H199" s="99">
        <f t="shared" si="15"/>
        <v>0</v>
      </c>
      <c r="I199" s="99">
        <f t="shared" si="13"/>
        <v>-20986500</v>
      </c>
      <c r="J199" s="99">
        <f t="shared" si="16"/>
        <v>0</v>
      </c>
      <c r="K199" s="99">
        <f t="shared" si="17"/>
        <v>-20986500</v>
      </c>
    </row>
    <row r="200" spans="1:11">
      <c r="A200" s="99" t="s">
        <v>4136</v>
      </c>
      <c r="B200" s="18">
        <v>-95000</v>
      </c>
      <c r="C200" s="18">
        <v>0</v>
      </c>
      <c r="D200" s="18">
        <f t="shared" si="18"/>
        <v>-95000</v>
      </c>
      <c r="E200" s="99" t="s">
        <v>4138</v>
      </c>
      <c r="F200" s="99">
        <v>3</v>
      </c>
      <c r="G200" s="36">
        <f t="shared" si="14"/>
        <v>102</v>
      </c>
      <c r="H200" s="99">
        <f t="shared" si="15"/>
        <v>0</v>
      </c>
      <c r="I200" s="99">
        <f t="shared" si="13"/>
        <v>-9690000</v>
      </c>
      <c r="J200" s="99">
        <f t="shared" si="16"/>
        <v>0</v>
      </c>
      <c r="K200" s="99">
        <f t="shared" si="17"/>
        <v>-9690000</v>
      </c>
    </row>
    <row r="201" spans="1:11">
      <c r="A201" s="99" t="s">
        <v>4154</v>
      </c>
      <c r="B201" s="18">
        <v>48650000</v>
      </c>
      <c r="C201" s="18">
        <v>0</v>
      </c>
      <c r="D201" s="18">
        <f t="shared" si="18"/>
        <v>48650000</v>
      </c>
      <c r="E201" s="99" t="s">
        <v>4155</v>
      </c>
      <c r="F201" s="99">
        <v>0</v>
      </c>
      <c r="G201" s="36">
        <f t="shared" si="14"/>
        <v>99</v>
      </c>
      <c r="H201" s="99">
        <f t="shared" si="15"/>
        <v>1</v>
      </c>
      <c r="I201" s="99">
        <f t="shared" si="13"/>
        <v>4767700000</v>
      </c>
      <c r="J201" s="99">
        <f t="shared" si="16"/>
        <v>0</v>
      </c>
      <c r="K201" s="99">
        <f t="shared" si="17"/>
        <v>4767700000</v>
      </c>
    </row>
    <row r="202" spans="1:11">
      <c r="A202" s="99" t="s">
        <v>4154</v>
      </c>
      <c r="B202" s="18">
        <v>-3000900</v>
      </c>
      <c r="C202" s="18">
        <v>0</v>
      </c>
      <c r="D202" s="18">
        <f t="shared" si="18"/>
        <v>-3000900</v>
      </c>
      <c r="E202" s="99" t="s">
        <v>1222</v>
      </c>
      <c r="F202" s="99">
        <v>0</v>
      </c>
      <c r="G202" s="36">
        <f t="shared" si="14"/>
        <v>99</v>
      </c>
      <c r="H202" s="99">
        <f t="shared" si="15"/>
        <v>0</v>
      </c>
      <c r="I202" s="99">
        <f t="shared" si="13"/>
        <v>-297089100</v>
      </c>
      <c r="J202" s="99">
        <f t="shared" si="16"/>
        <v>0</v>
      </c>
      <c r="K202" s="99">
        <f t="shared" si="17"/>
        <v>-297089100</v>
      </c>
    </row>
    <row r="203" spans="1:11">
      <c r="A203" s="99" t="s">
        <v>4154</v>
      </c>
      <c r="B203" s="18">
        <v>-5000</v>
      </c>
      <c r="C203" s="18">
        <v>0</v>
      </c>
      <c r="D203" s="18">
        <f t="shared" si="18"/>
        <v>-5000</v>
      </c>
      <c r="E203" s="99" t="s">
        <v>4156</v>
      </c>
      <c r="F203" s="99">
        <v>0</v>
      </c>
      <c r="G203" s="36">
        <f t="shared" si="14"/>
        <v>99</v>
      </c>
      <c r="H203" s="99">
        <f t="shared" si="15"/>
        <v>0</v>
      </c>
      <c r="I203" s="99">
        <f t="shared" si="13"/>
        <v>-495000</v>
      </c>
      <c r="J203" s="99">
        <f t="shared" si="16"/>
        <v>0</v>
      </c>
      <c r="K203" s="99">
        <f t="shared" si="17"/>
        <v>-495000</v>
      </c>
    </row>
    <row r="204" spans="1:11">
      <c r="A204" s="99" t="s">
        <v>4154</v>
      </c>
      <c r="B204" s="18">
        <v>-33500000</v>
      </c>
      <c r="C204" s="18">
        <v>0</v>
      </c>
      <c r="D204" s="18">
        <f t="shared" si="18"/>
        <v>-33500000</v>
      </c>
      <c r="E204" s="99" t="s">
        <v>3772</v>
      </c>
      <c r="F204" s="99">
        <v>1</v>
      </c>
      <c r="G204" s="36">
        <f>G205+F204</f>
        <v>99</v>
      </c>
      <c r="H204" s="99">
        <f t="shared" si="15"/>
        <v>0</v>
      </c>
      <c r="I204" s="99">
        <f t="shared" si="13"/>
        <v>-3316500000</v>
      </c>
      <c r="J204" s="99">
        <f t="shared" si="16"/>
        <v>0</v>
      </c>
      <c r="K204" s="99">
        <f t="shared" si="17"/>
        <v>-3316500000</v>
      </c>
    </row>
    <row r="205" spans="1:11">
      <c r="A205" s="11" t="s">
        <v>4159</v>
      </c>
      <c r="B205" s="18">
        <v>-12435000</v>
      </c>
      <c r="C205" s="18">
        <v>0</v>
      </c>
      <c r="D205" s="18">
        <f t="shared" si="18"/>
        <v>-12435000</v>
      </c>
      <c r="E205" s="11" t="s">
        <v>3772</v>
      </c>
      <c r="F205" s="11">
        <v>3</v>
      </c>
      <c r="G205" s="36">
        <f t="shared" ref="G205:G269" si="19">G206+F205</f>
        <v>98</v>
      </c>
      <c r="H205" s="99">
        <f t="shared" si="15"/>
        <v>0</v>
      </c>
      <c r="I205" s="99">
        <f t="shared" si="13"/>
        <v>-1218630000</v>
      </c>
      <c r="J205" s="99">
        <f t="shared" si="16"/>
        <v>0</v>
      </c>
      <c r="K205" s="99">
        <f t="shared" si="17"/>
        <v>-1218630000</v>
      </c>
    </row>
    <row r="206" spans="1:11">
      <c r="A206" s="99" t="s">
        <v>4172</v>
      </c>
      <c r="B206" s="18">
        <v>-18500</v>
      </c>
      <c r="C206" s="18">
        <v>0</v>
      </c>
      <c r="D206" s="18">
        <f t="shared" si="18"/>
        <v>-18500</v>
      </c>
      <c r="E206" s="99" t="s">
        <v>4173</v>
      </c>
      <c r="F206" s="99">
        <v>2</v>
      </c>
      <c r="G206" s="36">
        <f t="shared" si="19"/>
        <v>95</v>
      </c>
      <c r="H206" s="99">
        <f t="shared" si="15"/>
        <v>0</v>
      </c>
      <c r="I206" s="99">
        <f t="shared" si="13"/>
        <v>-1757500</v>
      </c>
      <c r="J206" s="99">
        <f t="shared" si="16"/>
        <v>0</v>
      </c>
      <c r="K206" s="99">
        <f t="shared" si="17"/>
        <v>-1757500</v>
      </c>
    </row>
    <row r="207" spans="1:11">
      <c r="A207" s="99" t="s">
        <v>4169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93</v>
      </c>
      <c r="H207" s="99">
        <f t="shared" si="15"/>
        <v>1</v>
      </c>
      <c r="I207" s="99">
        <f t="shared" si="13"/>
        <v>1332160</v>
      </c>
      <c r="J207" s="99">
        <f t="shared" ref="J207:J269" si="20">C207*(G207-H207)</f>
        <v>6520408</v>
      </c>
      <c r="K207" s="99">
        <f t="shared" si="17"/>
        <v>-5188248</v>
      </c>
    </row>
    <row r="208" spans="1:11">
      <c r="A208" s="99" t="s">
        <v>4175</v>
      </c>
      <c r="B208" s="18">
        <v>830000</v>
      </c>
      <c r="C208" s="18">
        <v>0</v>
      </c>
      <c r="D208" s="18">
        <f t="shared" si="18"/>
        <v>830000</v>
      </c>
      <c r="E208" s="99" t="s">
        <v>4176</v>
      </c>
      <c r="F208" s="99">
        <v>2</v>
      </c>
      <c r="G208" s="36">
        <f t="shared" si="19"/>
        <v>92</v>
      </c>
      <c r="H208" s="99">
        <f t="shared" si="15"/>
        <v>1</v>
      </c>
      <c r="I208" s="99">
        <f t="shared" si="13"/>
        <v>75530000</v>
      </c>
      <c r="J208" s="99">
        <f t="shared" si="20"/>
        <v>0</v>
      </c>
      <c r="K208" s="99">
        <f t="shared" si="17"/>
        <v>75530000</v>
      </c>
    </row>
    <row r="209" spans="1:13">
      <c r="A209" s="99" t="s">
        <v>4192</v>
      </c>
      <c r="B209" s="18">
        <v>-52440</v>
      </c>
      <c r="C209" s="18">
        <v>0</v>
      </c>
      <c r="D209" s="18">
        <f t="shared" si="18"/>
        <v>-52440</v>
      </c>
      <c r="E209" s="99" t="s">
        <v>4194</v>
      </c>
      <c r="F209" s="99">
        <v>1</v>
      </c>
      <c r="G209" s="36">
        <f t="shared" si="19"/>
        <v>90</v>
      </c>
      <c r="H209" s="99">
        <f t="shared" si="15"/>
        <v>0</v>
      </c>
      <c r="I209" s="99">
        <f t="shared" si="13"/>
        <v>-4719600</v>
      </c>
      <c r="J209" s="99">
        <f t="shared" si="20"/>
        <v>0</v>
      </c>
      <c r="K209" s="99">
        <f t="shared" si="17"/>
        <v>-4719600</v>
      </c>
    </row>
    <row r="210" spans="1:13">
      <c r="A210" s="99" t="s">
        <v>4195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89</v>
      </c>
      <c r="H210" s="99">
        <f t="shared" si="15"/>
        <v>0</v>
      </c>
      <c r="I210" s="99">
        <f t="shared" si="13"/>
        <v>-4547900</v>
      </c>
      <c r="J210" s="99">
        <f t="shared" si="20"/>
        <v>0</v>
      </c>
      <c r="K210" s="99">
        <f t="shared" si="17"/>
        <v>-4547900</v>
      </c>
    </row>
    <row r="211" spans="1:13">
      <c r="A211" s="99" t="s">
        <v>4196</v>
      </c>
      <c r="B211" s="18">
        <v>-200000</v>
      </c>
      <c r="C211" s="18">
        <v>0</v>
      </c>
      <c r="D211" s="18">
        <f t="shared" si="18"/>
        <v>-200000</v>
      </c>
      <c r="E211" s="99" t="s">
        <v>4197</v>
      </c>
      <c r="F211" s="99">
        <v>1</v>
      </c>
      <c r="G211" s="36">
        <f t="shared" si="19"/>
        <v>88</v>
      </c>
      <c r="H211" s="99">
        <f t="shared" si="15"/>
        <v>0</v>
      </c>
      <c r="I211" s="99">
        <f t="shared" si="13"/>
        <v>-17600000</v>
      </c>
      <c r="J211" s="99">
        <f t="shared" si="20"/>
        <v>0</v>
      </c>
      <c r="K211" s="99">
        <f t="shared" si="17"/>
        <v>-17600000</v>
      </c>
    </row>
    <row r="212" spans="1:13">
      <c r="A212" s="99" t="s">
        <v>4198</v>
      </c>
      <c r="B212" s="18">
        <v>-28000</v>
      </c>
      <c r="C212" s="18">
        <v>0</v>
      </c>
      <c r="D212" s="18">
        <f t="shared" si="18"/>
        <v>-28000</v>
      </c>
      <c r="E212" s="99" t="s">
        <v>1039</v>
      </c>
      <c r="F212" s="99">
        <v>1</v>
      </c>
      <c r="G212" s="36">
        <f t="shared" si="19"/>
        <v>87</v>
      </c>
      <c r="H212" s="99">
        <f t="shared" si="15"/>
        <v>0</v>
      </c>
      <c r="I212" s="99">
        <f t="shared" si="13"/>
        <v>-2436000</v>
      </c>
      <c r="J212" s="99">
        <f t="shared" si="20"/>
        <v>0</v>
      </c>
      <c r="K212" s="99">
        <f t="shared" si="17"/>
        <v>-2436000</v>
      </c>
    </row>
    <row r="213" spans="1:13">
      <c r="A213" s="99" t="s">
        <v>4199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86</v>
      </c>
      <c r="H213" s="99">
        <f t="shared" si="15"/>
        <v>0</v>
      </c>
      <c r="I213" s="99">
        <f t="shared" si="13"/>
        <v>-5082600</v>
      </c>
      <c r="J213" s="99">
        <f t="shared" si="20"/>
        <v>0</v>
      </c>
      <c r="K213" s="99">
        <f t="shared" si="17"/>
        <v>-5082600</v>
      </c>
    </row>
    <row r="214" spans="1:13">
      <c r="A214" s="99" t="s">
        <v>4199</v>
      </c>
      <c r="B214" s="18">
        <v>-30000</v>
      </c>
      <c r="C214" s="18">
        <v>0</v>
      </c>
      <c r="D214" s="18">
        <f t="shared" si="18"/>
        <v>-30000</v>
      </c>
      <c r="E214" s="99" t="s">
        <v>4200</v>
      </c>
      <c r="F214" s="99">
        <v>0</v>
      </c>
      <c r="G214" s="36">
        <f t="shared" si="19"/>
        <v>85</v>
      </c>
      <c r="H214" s="99">
        <f t="shared" si="15"/>
        <v>0</v>
      </c>
      <c r="I214" s="99">
        <f t="shared" si="13"/>
        <v>-2550000</v>
      </c>
      <c r="J214" s="99">
        <f t="shared" si="20"/>
        <v>0</v>
      </c>
      <c r="K214" s="99">
        <f t="shared" si="17"/>
        <v>-2550000</v>
      </c>
    </row>
    <row r="215" spans="1:13">
      <c r="A215" s="99" t="s">
        <v>4199</v>
      </c>
      <c r="B215" s="18">
        <v>-178000</v>
      </c>
      <c r="C215" s="18">
        <v>0</v>
      </c>
      <c r="D215" s="18">
        <f t="shared" si="18"/>
        <v>-178000</v>
      </c>
      <c r="E215" s="99" t="s">
        <v>4202</v>
      </c>
      <c r="F215" s="99">
        <v>1</v>
      </c>
      <c r="G215" s="36">
        <f t="shared" si="19"/>
        <v>85</v>
      </c>
      <c r="H215" s="99">
        <f t="shared" si="15"/>
        <v>0</v>
      </c>
      <c r="I215" s="99">
        <f t="shared" si="13"/>
        <v>-15130000</v>
      </c>
      <c r="J215" s="99">
        <f t="shared" si="20"/>
        <v>0</v>
      </c>
      <c r="K215" s="99">
        <f t="shared" si="17"/>
        <v>-15130000</v>
      </c>
    </row>
    <row r="216" spans="1:13">
      <c r="A216" s="99" t="s">
        <v>4204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84</v>
      </c>
      <c r="H216" s="99">
        <f t="shared" si="15"/>
        <v>0</v>
      </c>
      <c r="I216" s="99">
        <f t="shared" si="13"/>
        <v>-8031240</v>
      </c>
      <c r="J216" s="99">
        <f t="shared" si="20"/>
        <v>0</v>
      </c>
      <c r="K216" s="99">
        <f t="shared" si="17"/>
        <v>-8031240</v>
      </c>
    </row>
    <row r="217" spans="1:13">
      <c r="A217" s="99" t="s">
        <v>4168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81</v>
      </c>
      <c r="H217" s="99">
        <f t="shared" si="15"/>
        <v>0</v>
      </c>
      <c r="I217" s="99">
        <f t="shared" si="13"/>
        <v>-6804000</v>
      </c>
      <c r="J217" s="99">
        <f t="shared" si="20"/>
        <v>0</v>
      </c>
      <c r="K217" s="99">
        <f t="shared" si="17"/>
        <v>-6804000</v>
      </c>
    </row>
    <row r="218" spans="1:13">
      <c r="A218" s="99" t="s">
        <v>4208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8" si="21">G219+F218</f>
        <v>79</v>
      </c>
      <c r="H218" s="99">
        <f t="shared" si="15"/>
        <v>0</v>
      </c>
      <c r="I218" s="99">
        <f t="shared" si="13"/>
        <v>-2607000</v>
      </c>
      <c r="J218" s="99">
        <f t="shared" si="20"/>
        <v>0</v>
      </c>
      <c r="K218" s="99">
        <f t="shared" si="17"/>
        <v>-2607000</v>
      </c>
    </row>
    <row r="219" spans="1:13">
      <c r="A219" s="99" t="s">
        <v>4213</v>
      </c>
      <c r="B219" s="18">
        <v>1548000</v>
      </c>
      <c r="C219" s="18">
        <v>0</v>
      </c>
      <c r="D219" s="18">
        <f t="shared" si="18"/>
        <v>1548000</v>
      </c>
      <c r="E219" s="99" t="s">
        <v>4243</v>
      </c>
      <c r="F219" s="99">
        <v>1</v>
      </c>
      <c r="G219" s="36">
        <f t="shared" si="21"/>
        <v>76</v>
      </c>
      <c r="H219" s="99">
        <f t="shared" si="15"/>
        <v>1</v>
      </c>
      <c r="I219" s="99">
        <f t="shared" si="13"/>
        <v>116100000</v>
      </c>
      <c r="J219" s="99">
        <f t="shared" si="20"/>
        <v>0</v>
      </c>
      <c r="K219" s="99">
        <f t="shared" si="17"/>
        <v>116100000</v>
      </c>
    </row>
    <row r="220" spans="1:13">
      <c r="A220" s="99" t="s">
        <v>4244</v>
      </c>
      <c r="B220" s="18">
        <v>-1400700</v>
      </c>
      <c r="C220" s="18">
        <v>0</v>
      </c>
      <c r="D220" s="18">
        <f t="shared" si="18"/>
        <v>-1400700</v>
      </c>
      <c r="E220" s="99" t="s">
        <v>4245</v>
      </c>
      <c r="F220" s="99">
        <v>0</v>
      </c>
      <c r="G220" s="36">
        <f t="shared" si="21"/>
        <v>75</v>
      </c>
      <c r="H220" s="99">
        <f t="shared" si="15"/>
        <v>0</v>
      </c>
      <c r="I220" s="99">
        <f t="shared" si="13"/>
        <v>-105052500</v>
      </c>
      <c r="J220" s="99">
        <f t="shared" si="20"/>
        <v>0</v>
      </c>
      <c r="K220" s="99">
        <f t="shared" si="17"/>
        <v>-105052500</v>
      </c>
    </row>
    <row r="221" spans="1:13">
      <c r="A221" s="99" t="s">
        <v>4244</v>
      </c>
      <c r="B221" s="18">
        <v>-10000</v>
      </c>
      <c r="C221" s="18">
        <v>0</v>
      </c>
      <c r="D221" s="18">
        <f t="shared" si="18"/>
        <v>-10000</v>
      </c>
      <c r="E221" s="99" t="s">
        <v>1136</v>
      </c>
      <c r="F221" s="99">
        <v>0</v>
      </c>
      <c r="G221" s="36">
        <f t="shared" si="21"/>
        <v>75</v>
      </c>
      <c r="H221" s="99">
        <f t="shared" si="15"/>
        <v>0</v>
      </c>
      <c r="I221" s="99">
        <f t="shared" si="13"/>
        <v>-750000</v>
      </c>
      <c r="J221" s="99">
        <f t="shared" si="20"/>
        <v>0</v>
      </c>
      <c r="K221" s="99">
        <f t="shared" si="17"/>
        <v>-750000</v>
      </c>
    </row>
    <row r="222" spans="1:13">
      <c r="A222" s="99" t="s">
        <v>4244</v>
      </c>
      <c r="B222" s="18">
        <v>-5000</v>
      </c>
      <c r="C222" s="18">
        <v>-2500</v>
      </c>
      <c r="D222" s="18">
        <f t="shared" si="18"/>
        <v>-2500</v>
      </c>
      <c r="E222" s="99" t="s">
        <v>4256</v>
      </c>
      <c r="F222" s="99">
        <v>6</v>
      </c>
      <c r="G222" s="36">
        <f t="shared" si="21"/>
        <v>75</v>
      </c>
      <c r="H222" s="99">
        <f t="shared" si="15"/>
        <v>0</v>
      </c>
      <c r="I222" s="99">
        <f t="shared" si="13"/>
        <v>-375000</v>
      </c>
      <c r="J222" s="99">
        <f t="shared" si="20"/>
        <v>-187500</v>
      </c>
      <c r="K222" s="99">
        <f t="shared" si="17"/>
        <v>-187500</v>
      </c>
    </row>
    <row r="223" spans="1:13">
      <c r="A223" s="99" t="s">
        <v>4268</v>
      </c>
      <c r="B223" s="18">
        <v>-190000</v>
      </c>
      <c r="C223" s="18">
        <v>0</v>
      </c>
      <c r="D223" s="18">
        <f t="shared" si="18"/>
        <v>-190000</v>
      </c>
      <c r="E223" s="99" t="s">
        <v>4269</v>
      </c>
      <c r="F223" s="99">
        <v>7</v>
      </c>
      <c r="G223" s="36">
        <f t="shared" si="21"/>
        <v>69</v>
      </c>
      <c r="H223" s="99">
        <f t="shared" si="15"/>
        <v>0</v>
      </c>
      <c r="I223" s="99">
        <f t="shared" si="13"/>
        <v>-13110000</v>
      </c>
      <c r="J223" s="99">
        <f t="shared" si="20"/>
        <v>0</v>
      </c>
      <c r="K223" s="99">
        <f t="shared" si="17"/>
        <v>-13110000</v>
      </c>
      <c r="M223" t="s">
        <v>25</v>
      </c>
    </row>
    <row r="224" spans="1:13">
      <c r="A224" s="99" t="s">
        <v>4296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62</v>
      </c>
      <c r="H224" s="99">
        <f t="shared" si="15"/>
        <v>1</v>
      </c>
      <c r="I224" s="99">
        <f t="shared" si="13"/>
        <v>116571</v>
      </c>
      <c r="J224" s="99">
        <f t="shared" si="20"/>
        <v>3963292</v>
      </c>
      <c r="K224" s="99">
        <f t="shared" si="17"/>
        <v>-3846721</v>
      </c>
      <c r="M224" t="s">
        <v>25</v>
      </c>
    </row>
    <row r="225" spans="1:13">
      <c r="A225" s="99" t="s">
        <v>4315</v>
      </c>
      <c r="B225" s="18">
        <v>5000000</v>
      </c>
      <c r="C225" s="18">
        <v>0</v>
      </c>
      <c r="D225" s="18">
        <f t="shared" si="18"/>
        <v>5000000</v>
      </c>
      <c r="E225" s="99" t="s">
        <v>3893</v>
      </c>
      <c r="F225" s="99">
        <v>1</v>
      </c>
      <c r="G225" s="36">
        <f t="shared" si="21"/>
        <v>56</v>
      </c>
      <c r="H225" s="99">
        <f t="shared" si="15"/>
        <v>1</v>
      </c>
      <c r="I225" s="99">
        <f t="shared" si="13"/>
        <v>275000000</v>
      </c>
      <c r="J225" s="99">
        <f t="shared" si="20"/>
        <v>0</v>
      </c>
      <c r="K225" s="99">
        <f t="shared" si="17"/>
        <v>275000000</v>
      </c>
    </row>
    <row r="226" spans="1:13">
      <c r="A226" s="99" t="s">
        <v>4321</v>
      </c>
      <c r="B226" s="18">
        <v>-3200000</v>
      </c>
      <c r="C226" s="18">
        <v>0</v>
      </c>
      <c r="D226" s="18">
        <f t="shared" si="18"/>
        <v>-3200000</v>
      </c>
      <c r="E226" s="99" t="s">
        <v>4333</v>
      </c>
      <c r="F226" s="99">
        <v>0</v>
      </c>
      <c r="G226" s="36">
        <f t="shared" si="21"/>
        <v>55</v>
      </c>
      <c r="H226" s="99">
        <f t="shared" si="15"/>
        <v>0</v>
      </c>
      <c r="I226" s="99">
        <f t="shared" si="13"/>
        <v>-176000000</v>
      </c>
      <c r="J226" s="99">
        <f t="shared" si="20"/>
        <v>0</v>
      </c>
      <c r="K226" s="99">
        <f t="shared" si="17"/>
        <v>-176000000</v>
      </c>
    </row>
    <row r="227" spans="1:13">
      <c r="A227" s="99" t="s">
        <v>4321</v>
      </c>
      <c r="B227" s="18">
        <v>2400000</v>
      </c>
      <c r="C227" s="18">
        <v>0</v>
      </c>
      <c r="D227" s="18">
        <f t="shared" si="18"/>
        <v>2400000</v>
      </c>
      <c r="E227" s="99" t="s">
        <v>3893</v>
      </c>
      <c r="F227" s="99">
        <v>2</v>
      </c>
      <c r="G227" s="36">
        <f t="shared" si="21"/>
        <v>55</v>
      </c>
      <c r="H227" s="99">
        <f t="shared" si="15"/>
        <v>1</v>
      </c>
      <c r="I227" s="99">
        <f t="shared" si="13"/>
        <v>129600000</v>
      </c>
      <c r="J227" s="99">
        <f t="shared" si="20"/>
        <v>0</v>
      </c>
      <c r="K227" s="99">
        <f t="shared" si="17"/>
        <v>129600000</v>
      </c>
    </row>
    <row r="228" spans="1:13">
      <c r="A228" s="99" t="s">
        <v>4349</v>
      </c>
      <c r="B228" s="18">
        <v>-50000</v>
      </c>
      <c r="C228" s="18">
        <v>0</v>
      </c>
      <c r="D228" s="18">
        <f t="shared" si="18"/>
        <v>-50000</v>
      </c>
      <c r="E228" s="99" t="s">
        <v>4353</v>
      </c>
      <c r="F228" s="99">
        <v>1</v>
      </c>
      <c r="G228" s="36">
        <f t="shared" si="21"/>
        <v>53</v>
      </c>
      <c r="H228" s="99">
        <f t="shared" si="15"/>
        <v>0</v>
      </c>
      <c r="I228" s="99">
        <f t="shared" si="13"/>
        <v>-2650000</v>
      </c>
      <c r="J228" s="99">
        <f t="shared" si="20"/>
        <v>0</v>
      </c>
      <c r="K228" s="99">
        <f t="shared" si="17"/>
        <v>-2650000</v>
      </c>
    </row>
    <row r="229" spans="1:13">
      <c r="A229" s="99" t="s">
        <v>4343</v>
      </c>
      <c r="B229" s="18">
        <v>-4100700</v>
      </c>
      <c r="C229" s="18">
        <v>0</v>
      </c>
      <c r="D229" s="18">
        <f t="shared" si="18"/>
        <v>-4100700</v>
      </c>
      <c r="E229" s="99" t="s">
        <v>4354</v>
      </c>
      <c r="F229" s="99">
        <v>4</v>
      </c>
      <c r="G229" s="36">
        <f t="shared" si="21"/>
        <v>52</v>
      </c>
      <c r="H229" s="99">
        <f t="shared" si="15"/>
        <v>0</v>
      </c>
      <c r="I229" s="99">
        <f t="shared" si="13"/>
        <v>-213236400</v>
      </c>
      <c r="J229" s="99">
        <f t="shared" si="20"/>
        <v>0</v>
      </c>
      <c r="K229" s="99">
        <f t="shared" si="17"/>
        <v>-213236400</v>
      </c>
    </row>
    <row r="230" spans="1:13">
      <c r="A230" s="99" t="s">
        <v>4362</v>
      </c>
      <c r="B230" s="18">
        <v>9700000</v>
      </c>
      <c r="C230" s="18">
        <v>0</v>
      </c>
      <c r="D230" s="18">
        <f t="shared" si="18"/>
        <v>9700000</v>
      </c>
      <c r="E230" s="99" t="s">
        <v>3893</v>
      </c>
      <c r="F230" s="99">
        <v>0</v>
      </c>
      <c r="G230" s="36">
        <f t="shared" si="21"/>
        <v>48</v>
      </c>
      <c r="H230" s="99">
        <f t="shared" si="15"/>
        <v>1</v>
      </c>
      <c r="I230" s="99">
        <f t="shared" si="13"/>
        <v>455900000</v>
      </c>
      <c r="J230" s="99">
        <f t="shared" si="20"/>
        <v>0</v>
      </c>
      <c r="K230" s="99">
        <f t="shared" si="17"/>
        <v>455900000</v>
      </c>
    </row>
    <row r="231" spans="1:13">
      <c r="A231" s="99" t="s">
        <v>4362</v>
      </c>
      <c r="B231" s="18">
        <v>-3000900</v>
      </c>
      <c r="C231" s="18">
        <v>0</v>
      </c>
      <c r="D231" s="18">
        <f t="shared" si="18"/>
        <v>-3000900</v>
      </c>
      <c r="E231" s="99" t="s">
        <v>4370</v>
      </c>
      <c r="F231" s="99">
        <v>1</v>
      </c>
      <c r="G231" s="36">
        <f t="shared" si="21"/>
        <v>48</v>
      </c>
      <c r="H231" s="99">
        <f t="shared" si="15"/>
        <v>0</v>
      </c>
      <c r="I231" s="99">
        <f t="shared" si="13"/>
        <v>-144043200</v>
      </c>
      <c r="J231" s="99">
        <f t="shared" si="20"/>
        <v>0</v>
      </c>
      <c r="K231" s="99">
        <f t="shared" si="17"/>
        <v>-144043200</v>
      </c>
    </row>
    <row r="232" spans="1:13">
      <c r="A232" s="99" t="s">
        <v>4363</v>
      </c>
      <c r="B232" s="18">
        <v>-3000900</v>
      </c>
      <c r="C232" s="18">
        <v>0</v>
      </c>
      <c r="D232" s="18">
        <f t="shared" si="18"/>
        <v>-3000900</v>
      </c>
      <c r="E232" s="99" t="s">
        <v>4370</v>
      </c>
      <c r="F232" s="99">
        <v>0</v>
      </c>
      <c r="G232" s="36">
        <f t="shared" si="21"/>
        <v>47</v>
      </c>
      <c r="H232" s="99">
        <f t="shared" si="15"/>
        <v>0</v>
      </c>
      <c r="I232" s="99">
        <f t="shared" si="13"/>
        <v>-141042300</v>
      </c>
      <c r="J232" s="99">
        <f t="shared" si="20"/>
        <v>0</v>
      </c>
      <c r="K232" s="99">
        <f t="shared" si="17"/>
        <v>-141042300</v>
      </c>
    </row>
    <row r="233" spans="1:13">
      <c r="A233" s="99" t="s">
        <v>4363</v>
      </c>
      <c r="B233" s="18">
        <v>-555000</v>
      </c>
      <c r="C233" s="18">
        <v>0</v>
      </c>
      <c r="D233" s="18">
        <f t="shared" si="18"/>
        <v>-555000</v>
      </c>
      <c r="E233" s="99" t="s">
        <v>4269</v>
      </c>
      <c r="F233" s="99">
        <v>1</v>
      </c>
      <c r="G233" s="36">
        <f t="shared" si="21"/>
        <v>47</v>
      </c>
      <c r="H233" s="99">
        <f t="shared" si="15"/>
        <v>0</v>
      </c>
      <c r="I233" s="99">
        <f t="shared" si="13"/>
        <v>-26085000</v>
      </c>
      <c r="J233" s="99">
        <f t="shared" si="20"/>
        <v>0</v>
      </c>
      <c r="K233" s="99">
        <f t="shared" si="17"/>
        <v>-26085000</v>
      </c>
    </row>
    <row r="234" spans="1:13">
      <c r="A234" s="99" t="s">
        <v>4382</v>
      </c>
      <c r="B234" s="18">
        <v>-138360</v>
      </c>
      <c r="C234" s="18">
        <v>0</v>
      </c>
      <c r="D234" s="18">
        <f t="shared" si="18"/>
        <v>-138360</v>
      </c>
      <c r="E234" s="99" t="s">
        <v>4384</v>
      </c>
      <c r="F234" s="99">
        <v>1</v>
      </c>
      <c r="G234" s="36">
        <f t="shared" si="21"/>
        <v>46</v>
      </c>
      <c r="H234" s="99">
        <f t="shared" si="15"/>
        <v>0</v>
      </c>
      <c r="I234" s="99">
        <f t="shared" si="13"/>
        <v>-6364560</v>
      </c>
      <c r="J234" s="99">
        <f t="shared" si="20"/>
        <v>0</v>
      </c>
      <c r="K234" s="99">
        <f t="shared" si="17"/>
        <v>-6364560</v>
      </c>
    </row>
    <row r="235" spans="1:13">
      <c r="A235" s="99" t="s">
        <v>4385</v>
      </c>
      <c r="B235" s="18">
        <v>-3000900</v>
      </c>
      <c r="C235" s="18">
        <v>0</v>
      </c>
      <c r="D235" s="18">
        <f t="shared" si="18"/>
        <v>-3000900</v>
      </c>
      <c r="E235" s="99" t="s">
        <v>4370</v>
      </c>
      <c r="F235" s="99">
        <v>2</v>
      </c>
      <c r="G235" s="36">
        <f t="shared" si="21"/>
        <v>45</v>
      </c>
      <c r="H235" s="99">
        <f t="shared" si="15"/>
        <v>0</v>
      </c>
      <c r="I235" s="99">
        <f t="shared" si="13"/>
        <v>-135040500</v>
      </c>
      <c r="J235" s="99">
        <f t="shared" si="20"/>
        <v>0</v>
      </c>
      <c r="K235" s="99">
        <f t="shared" si="17"/>
        <v>-135040500</v>
      </c>
      <c r="M235" t="s">
        <v>25</v>
      </c>
    </row>
    <row r="236" spans="1:13">
      <c r="A236" s="99" t="s">
        <v>4391</v>
      </c>
      <c r="B236" s="18">
        <v>-55000</v>
      </c>
      <c r="C236" s="18">
        <v>0</v>
      </c>
      <c r="D236" s="18">
        <f t="shared" si="18"/>
        <v>-55000</v>
      </c>
      <c r="E236" s="99" t="s">
        <v>4156</v>
      </c>
      <c r="F236" s="99">
        <v>4</v>
      </c>
      <c r="G236" s="36">
        <f t="shared" si="21"/>
        <v>43</v>
      </c>
      <c r="H236" s="99">
        <f t="shared" si="15"/>
        <v>0</v>
      </c>
      <c r="I236" s="99">
        <f t="shared" si="13"/>
        <v>-2365000</v>
      </c>
      <c r="J236" s="99">
        <f t="shared" si="20"/>
        <v>0</v>
      </c>
      <c r="K236" s="99">
        <f t="shared" si="17"/>
        <v>-2365000</v>
      </c>
    </row>
    <row r="237" spans="1:13">
      <c r="A237" s="99" t="s">
        <v>4408</v>
      </c>
      <c r="B237" s="18">
        <v>6035000</v>
      </c>
      <c r="C237" s="18">
        <v>0</v>
      </c>
      <c r="D237" s="18">
        <f t="shared" si="18"/>
        <v>6035000</v>
      </c>
      <c r="E237" s="99" t="s">
        <v>3893</v>
      </c>
      <c r="F237" s="99">
        <v>2</v>
      </c>
      <c r="G237" s="36">
        <f t="shared" si="21"/>
        <v>39</v>
      </c>
      <c r="H237" s="99">
        <f t="shared" si="15"/>
        <v>1</v>
      </c>
      <c r="I237" s="99">
        <f t="shared" si="13"/>
        <v>229330000</v>
      </c>
      <c r="J237" s="99">
        <f t="shared" si="20"/>
        <v>0</v>
      </c>
      <c r="K237" s="99">
        <f t="shared" si="17"/>
        <v>229330000</v>
      </c>
    </row>
    <row r="238" spans="1:13">
      <c r="A238" s="99" t="s">
        <v>4415</v>
      </c>
      <c r="B238" s="18">
        <v>-7500</v>
      </c>
      <c r="C238" s="18">
        <v>0</v>
      </c>
      <c r="D238" s="18">
        <f t="shared" si="18"/>
        <v>-7500</v>
      </c>
      <c r="E238" s="99" t="s">
        <v>4416</v>
      </c>
      <c r="F238" s="99">
        <v>1</v>
      </c>
      <c r="G238" s="36">
        <f t="shared" si="21"/>
        <v>37</v>
      </c>
      <c r="H238" s="99">
        <f t="shared" si="15"/>
        <v>0</v>
      </c>
      <c r="I238" s="99">
        <f t="shared" si="13"/>
        <v>-277500</v>
      </c>
      <c r="J238" s="99">
        <f t="shared" si="20"/>
        <v>0</v>
      </c>
      <c r="K238" s="99">
        <f t="shared" si="17"/>
        <v>-277500</v>
      </c>
    </row>
    <row r="239" spans="1:13">
      <c r="A239" s="99" t="s">
        <v>4417</v>
      </c>
      <c r="B239" s="18">
        <v>-4098523</v>
      </c>
      <c r="C239" s="18">
        <v>0</v>
      </c>
      <c r="D239" s="18">
        <f t="shared" si="18"/>
        <v>-4098523</v>
      </c>
      <c r="E239" s="99" t="s">
        <v>4418</v>
      </c>
      <c r="F239" s="99">
        <v>0</v>
      </c>
      <c r="G239" s="36">
        <f t="shared" si="21"/>
        <v>36</v>
      </c>
      <c r="H239" s="99">
        <f t="shared" si="15"/>
        <v>0</v>
      </c>
      <c r="I239" s="99">
        <f t="shared" si="13"/>
        <v>-147546828</v>
      </c>
      <c r="J239" s="99">
        <f t="shared" si="20"/>
        <v>0</v>
      </c>
      <c r="K239" s="99">
        <f t="shared" si="17"/>
        <v>-147546828</v>
      </c>
    </row>
    <row r="240" spans="1:13">
      <c r="A240" s="99" t="s">
        <v>4419</v>
      </c>
      <c r="B240" s="18">
        <v>-33225</v>
      </c>
      <c r="C240" s="18">
        <v>0</v>
      </c>
      <c r="D240" s="18">
        <f t="shared" si="18"/>
        <v>-33225</v>
      </c>
      <c r="E240" s="99" t="s">
        <v>4269</v>
      </c>
      <c r="F240" s="99">
        <v>0</v>
      </c>
      <c r="G240" s="36">
        <f t="shared" si="21"/>
        <v>36</v>
      </c>
      <c r="H240" s="99">
        <f t="shared" si="15"/>
        <v>0</v>
      </c>
      <c r="I240" s="99">
        <f t="shared" si="13"/>
        <v>-1196100</v>
      </c>
      <c r="J240" s="99">
        <f t="shared" si="20"/>
        <v>0</v>
      </c>
      <c r="K240" s="99">
        <f t="shared" si="17"/>
        <v>-1196100</v>
      </c>
    </row>
    <row r="241" spans="1:13">
      <c r="A241" s="99" t="s">
        <v>4419</v>
      </c>
      <c r="B241" s="18">
        <v>-1895000</v>
      </c>
      <c r="C241" s="18">
        <v>0</v>
      </c>
      <c r="D241" s="18">
        <f t="shared" si="18"/>
        <v>-1895000</v>
      </c>
      <c r="E241" s="99" t="s">
        <v>3772</v>
      </c>
      <c r="F241" s="99">
        <v>7</v>
      </c>
      <c r="G241" s="36">
        <f t="shared" si="21"/>
        <v>36</v>
      </c>
      <c r="H241" s="99">
        <f t="shared" si="15"/>
        <v>0</v>
      </c>
      <c r="I241" s="99">
        <f t="shared" si="13"/>
        <v>-68220000</v>
      </c>
      <c r="J241" s="99">
        <f t="shared" si="20"/>
        <v>0</v>
      </c>
      <c r="K241" s="99">
        <f t="shared" si="17"/>
        <v>-68220000</v>
      </c>
    </row>
    <row r="242" spans="1:13">
      <c r="A242" s="99" t="s">
        <v>4454</v>
      </c>
      <c r="B242" s="18">
        <v>2500000</v>
      </c>
      <c r="C242" s="18">
        <v>0</v>
      </c>
      <c r="D242" s="18">
        <f t="shared" si="18"/>
        <v>2500000</v>
      </c>
      <c r="E242" s="99" t="s">
        <v>3893</v>
      </c>
      <c r="F242" s="99">
        <v>2</v>
      </c>
      <c r="G242" s="36">
        <f t="shared" si="21"/>
        <v>29</v>
      </c>
      <c r="H242" s="99">
        <f t="shared" si="15"/>
        <v>1</v>
      </c>
      <c r="I242" s="99">
        <f t="shared" si="13"/>
        <v>70000000</v>
      </c>
      <c r="J242" s="99">
        <f t="shared" si="20"/>
        <v>0</v>
      </c>
      <c r="K242" s="99">
        <f t="shared" si="17"/>
        <v>70000000</v>
      </c>
    </row>
    <row r="243" spans="1:13">
      <c r="A243" s="99" t="s">
        <v>4456</v>
      </c>
      <c r="B243" s="18">
        <v>-2500000</v>
      </c>
      <c r="C243" s="18">
        <v>0</v>
      </c>
      <c r="D243" s="18">
        <f t="shared" si="18"/>
        <v>-2500000</v>
      </c>
      <c r="E243" s="99" t="s">
        <v>3772</v>
      </c>
      <c r="F243" s="99">
        <v>2</v>
      </c>
      <c r="G243" s="36">
        <f t="shared" si="21"/>
        <v>27</v>
      </c>
      <c r="H243" s="99">
        <f t="shared" si="15"/>
        <v>0</v>
      </c>
      <c r="I243" s="99">
        <f t="shared" si="13"/>
        <v>-67500000</v>
      </c>
      <c r="J243" s="99">
        <f t="shared" si="20"/>
        <v>0</v>
      </c>
      <c r="K243" s="99">
        <f t="shared" si="17"/>
        <v>-67500000</v>
      </c>
    </row>
    <row r="244" spans="1:13">
      <c r="A244" s="99" t="s">
        <v>4461</v>
      </c>
      <c r="B244" s="18">
        <v>1100000</v>
      </c>
      <c r="C244" s="18">
        <v>0</v>
      </c>
      <c r="D244" s="18">
        <f t="shared" si="18"/>
        <v>1100000</v>
      </c>
      <c r="E244" s="99" t="s">
        <v>3893</v>
      </c>
      <c r="F244" s="99">
        <v>2</v>
      </c>
      <c r="G244" s="36">
        <f t="shared" si="21"/>
        <v>25</v>
      </c>
      <c r="H244" s="99">
        <f t="shared" si="15"/>
        <v>1</v>
      </c>
      <c r="I244" s="99">
        <f t="shared" si="13"/>
        <v>26400000</v>
      </c>
      <c r="J244" s="99">
        <f t="shared" si="20"/>
        <v>0</v>
      </c>
      <c r="K244" s="99">
        <f t="shared" si="17"/>
        <v>26400000</v>
      </c>
    </row>
    <row r="245" spans="1:13">
      <c r="A245" s="99" t="s">
        <v>4467</v>
      </c>
      <c r="B245" s="18">
        <v>3000000</v>
      </c>
      <c r="C245" s="18">
        <v>0</v>
      </c>
      <c r="D245" s="18">
        <f t="shared" si="18"/>
        <v>3000000</v>
      </c>
      <c r="E245" s="99" t="s">
        <v>4469</v>
      </c>
      <c r="F245" s="99">
        <v>2</v>
      </c>
      <c r="G245" s="36">
        <f t="shared" si="21"/>
        <v>23</v>
      </c>
      <c r="H245" s="99">
        <f t="shared" si="15"/>
        <v>1</v>
      </c>
      <c r="I245" s="99">
        <f t="shared" si="13"/>
        <v>66000000</v>
      </c>
      <c r="J245" s="99">
        <f t="shared" si="20"/>
        <v>0</v>
      </c>
      <c r="K245" s="99">
        <f t="shared" si="17"/>
        <v>66000000</v>
      </c>
    </row>
    <row r="246" spans="1:13">
      <c r="A246" s="99" t="s">
        <v>4460</v>
      </c>
      <c r="B246" s="18">
        <v>-4040700</v>
      </c>
      <c r="C246" s="18">
        <v>0</v>
      </c>
      <c r="D246" s="18">
        <f t="shared" si="18"/>
        <v>-4040700</v>
      </c>
      <c r="E246" s="99" t="s">
        <v>4503</v>
      </c>
      <c r="F246" s="99">
        <v>0</v>
      </c>
      <c r="G246" s="36">
        <f t="shared" si="21"/>
        <v>21</v>
      </c>
      <c r="H246" s="99">
        <f t="shared" si="15"/>
        <v>0</v>
      </c>
      <c r="I246" s="99">
        <f t="shared" si="13"/>
        <v>-84854700</v>
      </c>
      <c r="J246" s="99">
        <f t="shared" si="20"/>
        <v>0</v>
      </c>
      <c r="K246" s="99">
        <f t="shared" si="17"/>
        <v>-84854700</v>
      </c>
    </row>
    <row r="247" spans="1:13">
      <c r="A247" s="99" t="s">
        <v>4460</v>
      </c>
      <c r="B247" s="18">
        <v>490000</v>
      </c>
      <c r="C247" s="18">
        <v>0</v>
      </c>
      <c r="D247" s="18">
        <f t="shared" si="18"/>
        <v>490000</v>
      </c>
      <c r="E247" s="99" t="s">
        <v>3893</v>
      </c>
      <c r="F247" s="99">
        <v>1</v>
      </c>
      <c r="G247" s="36">
        <f t="shared" si="21"/>
        <v>21</v>
      </c>
      <c r="H247" s="99">
        <f t="shared" si="15"/>
        <v>1</v>
      </c>
      <c r="I247" s="99">
        <f t="shared" si="13"/>
        <v>9800000</v>
      </c>
      <c r="J247" s="99">
        <f t="shared" si="20"/>
        <v>0</v>
      </c>
      <c r="K247" s="99">
        <f t="shared" si="17"/>
        <v>9800000</v>
      </c>
    </row>
    <row r="248" spans="1:13">
      <c r="A248" s="99" t="s">
        <v>4508</v>
      </c>
      <c r="B248" s="18">
        <v>1400000</v>
      </c>
      <c r="C248" s="18">
        <v>0</v>
      </c>
      <c r="D248" s="18">
        <f t="shared" si="18"/>
        <v>1400000</v>
      </c>
      <c r="E248" s="99" t="s">
        <v>3893</v>
      </c>
      <c r="F248" s="99">
        <v>0</v>
      </c>
      <c r="G248" s="36">
        <f t="shared" si="21"/>
        <v>20</v>
      </c>
      <c r="H248" s="99">
        <f t="shared" si="15"/>
        <v>1</v>
      </c>
      <c r="I248" s="99">
        <f t="shared" si="13"/>
        <v>26600000</v>
      </c>
      <c r="J248" s="99">
        <f t="shared" si="20"/>
        <v>0</v>
      </c>
      <c r="K248" s="99">
        <f t="shared" si="17"/>
        <v>26600000</v>
      </c>
      <c r="M248" t="s">
        <v>25</v>
      </c>
    </row>
    <row r="249" spans="1:13">
      <c r="A249" s="99" t="s">
        <v>4508</v>
      </c>
      <c r="B249" s="18">
        <v>-1500000</v>
      </c>
      <c r="C249" s="18">
        <v>0</v>
      </c>
      <c r="D249" s="18">
        <f t="shared" si="18"/>
        <v>-1500000</v>
      </c>
      <c r="E249" s="99" t="s">
        <v>3772</v>
      </c>
      <c r="F249" s="99">
        <v>1</v>
      </c>
      <c r="G249" s="36">
        <f t="shared" si="21"/>
        <v>20</v>
      </c>
      <c r="H249" s="99">
        <f t="shared" si="15"/>
        <v>0</v>
      </c>
      <c r="I249" s="99">
        <f t="shared" si="13"/>
        <v>-30000000</v>
      </c>
      <c r="J249" s="99">
        <f t="shared" si="20"/>
        <v>0</v>
      </c>
      <c r="K249" s="99">
        <f t="shared" si="17"/>
        <v>-30000000</v>
      </c>
    </row>
    <row r="250" spans="1:13">
      <c r="A250" s="99" t="s">
        <v>4517</v>
      </c>
      <c r="B250" s="18">
        <v>-100000</v>
      </c>
      <c r="C250" s="18">
        <v>0</v>
      </c>
      <c r="D250" s="18">
        <f t="shared" si="18"/>
        <v>-100000</v>
      </c>
      <c r="E250" s="99" t="s">
        <v>3772</v>
      </c>
      <c r="F250" s="99">
        <v>1</v>
      </c>
      <c r="G250" s="36">
        <f t="shared" si="21"/>
        <v>19</v>
      </c>
      <c r="H250" s="99">
        <f t="shared" si="15"/>
        <v>0</v>
      </c>
      <c r="I250" s="99">
        <f t="shared" si="13"/>
        <v>-1900000</v>
      </c>
      <c r="J250" s="99">
        <f t="shared" si="20"/>
        <v>0</v>
      </c>
      <c r="K250" s="99">
        <f t="shared" si="17"/>
        <v>-1900000</v>
      </c>
    </row>
    <row r="251" spans="1:13">
      <c r="A251" s="99" t="s">
        <v>4235</v>
      </c>
      <c r="B251" s="18">
        <v>-13900</v>
      </c>
      <c r="C251" s="18">
        <v>0</v>
      </c>
      <c r="D251" s="18">
        <f t="shared" si="18"/>
        <v>-13900</v>
      </c>
      <c r="E251" s="99" t="s">
        <v>4017</v>
      </c>
      <c r="F251" s="99">
        <v>0</v>
      </c>
      <c r="G251" s="36">
        <f t="shared" si="21"/>
        <v>18</v>
      </c>
      <c r="H251" s="99">
        <f t="shared" si="15"/>
        <v>0</v>
      </c>
      <c r="I251" s="99">
        <f t="shared" si="13"/>
        <v>-250200</v>
      </c>
      <c r="J251" s="99">
        <f t="shared" si="20"/>
        <v>0</v>
      </c>
      <c r="K251" s="99">
        <f t="shared" si="17"/>
        <v>-250200</v>
      </c>
    </row>
    <row r="252" spans="1:13">
      <c r="A252" s="99" t="s">
        <v>4235</v>
      </c>
      <c r="B252" s="18">
        <v>300000</v>
      </c>
      <c r="C252" s="18">
        <v>0</v>
      </c>
      <c r="D252" s="18">
        <f t="shared" si="18"/>
        <v>300000</v>
      </c>
      <c r="E252" s="99" t="s">
        <v>3893</v>
      </c>
      <c r="F252" s="99">
        <v>2</v>
      </c>
      <c r="G252" s="36">
        <f t="shared" si="21"/>
        <v>18</v>
      </c>
      <c r="H252" s="99">
        <f t="shared" si="15"/>
        <v>1</v>
      </c>
      <c r="I252" s="99">
        <f t="shared" si="13"/>
        <v>5100000</v>
      </c>
      <c r="J252" s="99">
        <f t="shared" si="20"/>
        <v>0</v>
      </c>
      <c r="K252" s="99">
        <f t="shared" si="17"/>
        <v>5100000</v>
      </c>
    </row>
    <row r="253" spans="1:13">
      <c r="A253" s="99" t="s">
        <v>4528</v>
      </c>
      <c r="B253" s="18">
        <v>12000000</v>
      </c>
      <c r="C253" s="18">
        <v>0</v>
      </c>
      <c r="D253" s="18">
        <f t="shared" si="18"/>
        <v>12000000</v>
      </c>
      <c r="E253" s="99" t="s">
        <v>4529</v>
      </c>
      <c r="F253" s="99">
        <v>1</v>
      </c>
      <c r="G253" s="36">
        <f t="shared" si="21"/>
        <v>16</v>
      </c>
      <c r="H253" s="99">
        <f t="shared" si="15"/>
        <v>1</v>
      </c>
      <c r="I253" s="99">
        <f t="shared" si="13"/>
        <v>180000000</v>
      </c>
      <c r="J253" s="99">
        <f t="shared" si="20"/>
        <v>0</v>
      </c>
      <c r="K253" s="99">
        <f t="shared" si="17"/>
        <v>180000000</v>
      </c>
    </row>
    <row r="254" spans="1:13">
      <c r="A254" s="99" t="s">
        <v>4530</v>
      </c>
      <c r="B254" s="18">
        <v>3000000</v>
      </c>
      <c r="C254" s="18">
        <v>0</v>
      </c>
      <c r="D254" s="18">
        <f t="shared" si="18"/>
        <v>3000000</v>
      </c>
      <c r="E254" s="99" t="s">
        <v>3893</v>
      </c>
      <c r="F254" s="99">
        <v>1</v>
      </c>
      <c r="G254" s="36">
        <f t="shared" si="21"/>
        <v>15</v>
      </c>
      <c r="H254" s="99">
        <f t="shared" si="15"/>
        <v>1</v>
      </c>
      <c r="I254" s="99">
        <f t="shared" si="13"/>
        <v>42000000</v>
      </c>
      <c r="J254" s="99">
        <f t="shared" si="20"/>
        <v>0</v>
      </c>
      <c r="K254" s="99">
        <f t="shared" si="17"/>
        <v>42000000</v>
      </c>
    </row>
    <row r="255" spans="1:13">
      <c r="A255" s="99" t="s">
        <v>4532</v>
      </c>
      <c r="B255" s="18">
        <v>-14000000</v>
      </c>
      <c r="C255" s="18">
        <v>0</v>
      </c>
      <c r="D255" s="18">
        <f t="shared" si="18"/>
        <v>-14000000</v>
      </c>
      <c r="E255" s="99" t="s">
        <v>3772</v>
      </c>
      <c r="F255" s="99">
        <v>1</v>
      </c>
      <c r="G255" s="36">
        <f t="shared" si="21"/>
        <v>14</v>
      </c>
      <c r="H255" s="99">
        <f t="shared" si="15"/>
        <v>0</v>
      </c>
      <c r="I255" s="99">
        <f t="shared" si="13"/>
        <v>-196000000</v>
      </c>
      <c r="J255" s="99">
        <f t="shared" si="20"/>
        <v>0</v>
      </c>
      <c r="K255" s="99">
        <f t="shared" si="17"/>
        <v>-196000000</v>
      </c>
    </row>
    <row r="256" spans="1:13">
      <c r="A256" s="99" t="s">
        <v>4534</v>
      </c>
      <c r="B256" s="18">
        <v>-124969</v>
      </c>
      <c r="C256" s="18">
        <v>0</v>
      </c>
      <c r="D256" s="18">
        <f t="shared" si="18"/>
        <v>-124969</v>
      </c>
      <c r="E256" s="99" t="s">
        <v>4017</v>
      </c>
      <c r="F256" s="99">
        <v>0</v>
      </c>
      <c r="G256" s="36">
        <f t="shared" si="21"/>
        <v>13</v>
      </c>
      <c r="H256" s="99">
        <f t="shared" si="15"/>
        <v>0</v>
      </c>
      <c r="I256" s="99">
        <f t="shared" si="13"/>
        <v>-1624597</v>
      </c>
      <c r="J256" s="99">
        <f t="shared" si="20"/>
        <v>0</v>
      </c>
      <c r="K256" s="99">
        <f t="shared" si="17"/>
        <v>-1624597</v>
      </c>
    </row>
    <row r="257" spans="1:12">
      <c r="A257" s="99" t="s">
        <v>4534</v>
      </c>
      <c r="B257" s="18">
        <v>0</v>
      </c>
      <c r="C257" s="39">
        <v>-7968789</v>
      </c>
      <c r="D257" s="39">
        <f t="shared" si="18"/>
        <v>7968789</v>
      </c>
      <c r="E257" s="99" t="s">
        <v>4538</v>
      </c>
      <c r="F257" s="99">
        <v>1</v>
      </c>
      <c r="G257" s="36">
        <f t="shared" si="21"/>
        <v>13</v>
      </c>
      <c r="H257" s="99">
        <f t="shared" si="15"/>
        <v>0</v>
      </c>
      <c r="I257" s="99">
        <f t="shared" si="13"/>
        <v>0</v>
      </c>
      <c r="J257" s="99">
        <f t="shared" si="20"/>
        <v>-103594257</v>
      </c>
      <c r="K257" s="99">
        <f t="shared" si="17"/>
        <v>103594257</v>
      </c>
    </row>
    <row r="258" spans="1:12">
      <c r="A258" s="99" t="s">
        <v>4540</v>
      </c>
      <c r="B258" s="18">
        <v>-1313000</v>
      </c>
      <c r="C258" s="18">
        <v>0</v>
      </c>
      <c r="D258" s="18">
        <f t="shared" si="18"/>
        <v>-1313000</v>
      </c>
      <c r="E258" s="99" t="s">
        <v>3772</v>
      </c>
      <c r="F258" s="99">
        <v>3</v>
      </c>
      <c r="G258" s="36">
        <f t="shared" si="21"/>
        <v>12</v>
      </c>
      <c r="H258" s="99">
        <f t="shared" si="15"/>
        <v>0</v>
      </c>
      <c r="I258" s="99">
        <f t="shared" si="13"/>
        <v>-15756000</v>
      </c>
      <c r="J258" s="99">
        <f t="shared" si="20"/>
        <v>0</v>
      </c>
      <c r="K258" s="99">
        <f t="shared" si="17"/>
        <v>-15756000</v>
      </c>
    </row>
    <row r="259" spans="1:12">
      <c r="A259" s="99" t="s">
        <v>4558</v>
      </c>
      <c r="B259" s="18">
        <v>2000000</v>
      </c>
      <c r="C259" s="18">
        <v>0</v>
      </c>
      <c r="D259" s="18">
        <f t="shared" si="18"/>
        <v>2000000</v>
      </c>
      <c r="E259" s="99" t="s">
        <v>3893</v>
      </c>
      <c r="F259" s="99">
        <v>1</v>
      </c>
      <c r="G259" s="36">
        <f t="shared" si="21"/>
        <v>9</v>
      </c>
      <c r="H259" s="99">
        <f t="shared" si="15"/>
        <v>1</v>
      </c>
      <c r="I259" s="99">
        <f t="shared" si="13"/>
        <v>16000000</v>
      </c>
      <c r="J259" s="99">
        <f t="shared" si="20"/>
        <v>0</v>
      </c>
      <c r="K259" s="99">
        <f t="shared" si="17"/>
        <v>16000000</v>
      </c>
    </row>
    <row r="260" spans="1:12">
      <c r="A260" s="99" t="s">
        <v>4559</v>
      </c>
      <c r="B260" s="18">
        <v>-1900000</v>
      </c>
      <c r="C260" s="18">
        <v>0</v>
      </c>
      <c r="D260" s="18">
        <f t="shared" si="18"/>
        <v>-1900000</v>
      </c>
      <c r="E260" s="99" t="s">
        <v>3772</v>
      </c>
      <c r="F260" s="99">
        <v>0</v>
      </c>
      <c r="G260" s="36">
        <f t="shared" si="21"/>
        <v>8</v>
      </c>
      <c r="H260" s="99">
        <f t="shared" si="15"/>
        <v>0</v>
      </c>
      <c r="I260" s="99">
        <f t="shared" si="13"/>
        <v>-15200000</v>
      </c>
      <c r="J260" s="99">
        <f t="shared" si="20"/>
        <v>0</v>
      </c>
      <c r="K260" s="99">
        <f t="shared" si="17"/>
        <v>-15200000</v>
      </c>
    </row>
    <row r="261" spans="1:12">
      <c r="A261" s="99" t="s">
        <v>4559</v>
      </c>
      <c r="B261" s="18">
        <v>-100500</v>
      </c>
      <c r="C261" s="18">
        <v>0</v>
      </c>
      <c r="D261" s="18">
        <f t="shared" si="18"/>
        <v>-100500</v>
      </c>
      <c r="E261" s="99" t="s">
        <v>4563</v>
      </c>
      <c r="F261" s="99">
        <v>0</v>
      </c>
      <c r="G261" s="36">
        <f t="shared" si="21"/>
        <v>8</v>
      </c>
      <c r="H261" s="99">
        <f t="shared" si="15"/>
        <v>0</v>
      </c>
      <c r="I261" s="99">
        <f t="shared" si="13"/>
        <v>-804000</v>
      </c>
      <c r="J261" s="99">
        <f t="shared" si="20"/>
        <v>0</v>
      </c>
      <c r="K261" s="99">
        <f t="shared" si="17"/>
        <v>-804000</v>
      </c>
    </row>
    <row r="262" spans="1:12">
      <c r="A262" s="99" t="s">
        <v>4559</v>
      </c>
      <c r="B262" s="18">
        <v>-68670</v>
      </c>
      <c r="C262" s="18">
        <v>0</v>
      </c>
      <c r="D262" s="18">
        <f t="shared" si="18"/>
        <v>-68670</v>
      </c>
      <c r="E262" s="99" t="s">
        <v>4569</v>
      </c>
      <c r="F262" s="99">
        <v>1</v>
      </c>
      <c r="G262" s="36">
        <f t="shared" si="21"/>
        <v>8</v>
      </c>
      <c r="H262" s="99">
        <f t="shared" si="15"/>
        <v>0</v>
      </c>
      <c r="I262" s="99">
        <f t="shared" si="13"/>
        <v>-549360</v>
      </c>
      <c r="J262" s="99">
        <f t="shared" si="20"/>
        <v>0</v>
      </c>
      <c r="K262" s="99">
        <f t="shared" si="17"/>
        <v>-549360</v>
      </c>
    </row>
    <row r="263" spans="1:12">
      <c r="A263" s="99" t="s">
        <v>4565</v>
      </c>
      <c r="B263" s="18">
        <v>-118600</v>
      </c>
      <c r="C263" s="18">
        <v>0</v>
      </c>
      <c r="D263" s="18">
        <f t="shared" si="18"/>
        <v>-118600</v>
      </c>
      <c r="E263" s="99" t="s">
        <v>4418</v>
      </c>
      <c r="F263" s="99">
        <v>2</v>
      </c>
      <c r="G263" s="36">
        <f t="shared" si="21"/>
        <v>7</v>
      </c>
      <c r="H263" s="99">
        <f t="shared" si="15"/>
        <v>0</v>
      </c>
      <c r="I263" s="99">
        <f t="shared" si="13"/>
        <v>-830200</v>
      </c>
      <c r="J263" s="99">
        <f t="shared" si="20"/>
        <v>0</v>
      </c>
      <c r="K263" s="99">
        <f t="shared" si="17"/>
        <v>-830200</v>
      </c>
      <c r="L263" t="s">
        <v>25</v>
      </c>
    </row>
    <row r="264" spans="1:12">
      <c r="A264" s="99" t="s">
        <v>4582</v>
      </c>
      <c r="B264" s="18">
        <v>6779000</v>
      </c>
      <c r="C264" s="18">
        <v>0</v>
      </c>
      <c r="D264" s="18">
        <f t="shared" si="18"/>
        <v>6779000</v>
      </c>
      <c r="E264" s="99" t="s">
        <v>3893</v>
      </c>
      <c r="F264" s="99">
        <v>0</v>
      </c>
      <c r="G264" s="36">
        <f t="shared" si="21"/>
        <v>5</v>
      </c>
      <c r="H264" s="99">
        <f t="shared" si="15"/>
        <v>1</v>
      </c>
      <c r="I264" s="99">
        <f t="shared" si="13"/>
        <v>27116000</v>
      </c>
      <c r="J264" s="99">
        <f t="shared" si="20"/>
        <v>0</v>
      </c>
      <c r="K264" s="99">
        <f t="shared" si="17"/>
        <v>27116000</v>
      </c>
    </row>
    <row r="265" spans="1:12">
      <c r="A265" s="99" t="s">
        <v>4582</v>
      </c>
      <c r="B265" s="18">
        <v>-6400000</v>
      </c>
      <c r="C265" s="18">
        <v>0</v>
      </c>
      <c r="D265" s="18">
        <f t="shared" si="18"/>
        <v>-6400000</v>
      </c>
      <c r="E265" s="99" t="s">
        <v>3772</v>
      </c>
      <c r="F265" s="99">
        <v>0</v>
      </c>
      <c r="G265" s="36">
        <f t="shared" si="21"/>
        <v>5</v>
      </c>
      <c r="H265" s="99">
        <f t="shared" si="15"/>
        <v>0</v>
      </c>
      <c r="I265" s="99">
        <f t="shared" si="13"/>
        <v>-32000000</v>
      </c>
      <c r="J265" s="99">
        <f t="shared" si="20"/>
        <v>0</v>
      </c>
      <c r="K265" s="99">
        <f t="shared" si="17"/>
        <v>-32000000</v>
      </c>
    </row>
    <row r="266" spans="1:12">
      <c r="A266" s="99" t="s">
        <v>4582</v>
      </c>
      <c r="B266" s="18">
        <v>-389000</v>
      </c>
      <c r="C266" s="18">
        <v>0</v>
      </c>
      <c r="D266" s="18">
        <f t="shared" si="18"/>
        <v>-389000</v>
      </c>
      <c r="E266" s="99" t="s">
        <v>4589</v>
      </c>
      <c r="F266" s="99">
        <v>4</v>
      </c>
      <c r="G266" s="36">
        <f t="shared" si="21"/>
        <v>5</v>
      </c>
      <c r="H266" s="99">
        <f t="shared" si="15"/>
        <v>0</v>
      </c>
      <c r="I266" s="99">
        <f t="shared" si="13"/>
        <v>-1945000</v>
      </c>
      <c r="J266" s="99">
        <f t="shared" si="20"/>
        <v>0</v>
      </c>
      <c r="K266" s="99">
        <f t="shared" si="17"/>
        <v>-1945000</v>
      </c>
    </row>
    <row r="267" spans="1:12">
      <c r="A267" s="99" t="s">
        <v>4618</v>
      </c>
      <c r="B267" s="18">
        <v>220000</v>
      </c>
      <c r="C267" s="18">
        <v>0</v>
      </c>
      <c r="D267" s="18">
        <f t="shared" si="18"/>
        <v>220000</v>
      </c>
      <c r="E267" s="99" t="s">
        <v>3893</v>
      </c>
      <c r="F267" s="99">
        <v>0</v>
      </c>
      <c r="G267" s="36">
        <f t="shared" si="21"/>
        <v>1</v>
      </c>
      <c r="H267" s="99">
        <f t="shared" si="15"/>
        <v>1</v>
      </c>
      <c r="I267" s="99">
        <f t="shared" si="13"/>
        <v>0</v>
      </c>
      <c r="J267" s="99">
        <f t="shared" si="20"/>
        <v>0</v>
      </c>
      <c r="K267" s="99">
        <f t="shared" si="17"/>
        <v>0</v>
      </c>
    </row>
    <row r="268" spans="1:12">
      <c r="A268" s="99" t="s">
        <v>4619</v>
      </c>
      <c r="B268" s="18">
        <v>-109390</v>
      </c>
      <c r="C268" s="18">
        <v>0</v>
      </c>
      <c r="D268" s="18">
        <f t="shared" si="18"/>
        <v>-109390</v>
      </c>
      <c r="E268" s="99" t="s">
        <v>452</v>
      </c>
      <c r="F268" s="99">
        <v>1</v>
      </c>
      <c r="G268" s="36">
        <f t="shared" si="21"/>
        <v>1</v>
      </c>
      <c r="H268" s="99">
        <f t="shared" si="15"/>
        <v>0</v>
      </c>
      <c r="I268" s="99">
        <f t="shared" si="13"/>
        <v>-109390</v>
      </c>
      <c r="J268" s="99">
        <f t="shared" si="20"/>
        <v>0</v>
      </c>
      <c r="K268" s="99">
        <f t="shared" si="17"/>
        <v>-109390</v>
      </c>
    </row>
    <row r="269" spans="1:12">
      <c r="A269" s="11"/>
      <c r="B269" s="18"/>
      <c r="C269" s="18"/>
      <c r="D269" s="18">
        <f t="shared" si="18"/>
        <v>0</v>
      </c>
      <c r="E269" s="11"/>
      <c r="F269" s="11">
        <v>0</v>
      </c>
      <c r="G269" s="36">
        <f t="shared" si="19"/>
        <v>0</v>
      </c>
      <c r="H269" s="99">
        <f t="shared" si="15"/>
        <v>0</v>
      </c>
      <c r="I269" s="99">
        <f t="shared" si="13"/>
        <v>0</v>
      </c>
      <c r="J269" s="99">
        <f t="shared" si="20"/>
        <v>0</v>
      </c>
      <c r="K269" s="99">
        <f t="shared" si="17"/>
        <v>0</v>
      </c>
    </row>
    <row r="270" spans="1:12">
      <c r="A270" s="11"/>
      <c r="B270" s="29">
        <f>SUM(B2:B269)</f>
        <v>118041</v>
      </c>
      <c r="C270" s="29">
        <f>SUM(C2:C269)</f>
        <v>0</v>
      </c>
      <c r="D270" s="29">
        <f>SUM(D2:D269)</f>
        <v>118041</v>
      </c>
      <c r="E270" s="11"/>
      <c r="F270" s="11"/>
      <c r="G270" s="11"/>
      <c r="H270" s="11"/>
      <c r="I270" s="29">
        <f>SUM(I2:I269)</f>
        <v>18827464974</v>
      </c>
      <c r="J270" s="29">
        <f>SUM(J2:J269)</f>
        <v>8687685429</v>
      </c>
      <c r="K270" s="29">
        <f>SUM(K2:K269)</f>
        <v>10139779545</v>
      </c>
    </row>
    <row r="271" spans="1:12">
      <c r="A271" s="11"/>
      <c r="B271" s="11" t="s">
        <v>283</v>
      </c>
      <c r="C271" s="11" t="s">
        <v>488</v>
      </c>
      <c r="D271" s="11" t="s">
        <v>489</v>
      </c>
      <c r="E271" s="11"/>
      <c r="F271" s="11"/>
      <c r="G271" s="11"/>
      <c r="H271" s="11"/>
      <c r="I271" s="11" t="s">
        <v>485</v>
      </c>
      <c r="J271" s="11" t="s">
        <v>486</v>
      </c>
      <c r="K271" s="11" t="s">
        <v>487</v>
      </c>
    </row>
    <row r="272" spans="1:1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</row>
    <row r="273" spans="1:11">
      <c r="A273" s="11"/>
      <c r="B273" s="11"/>
      <c r="C273" s="11"/>
      <c r="D273" s="11"/>
      <c r="E273" s="11"/>
      <c r="F273" s="11"/>
      <c r="G273" s="11"/>
      <c r="H273" s="11"/>
      <c r="I273" s="3">
        <f>I270/G2</f>
        <v>19075445.768996961</v>
      </c>
      <c r="J273" s="29">
        <f>J270/G2</f>
        <v>8802112.8966565356</v>
      </c>
      <c r="K273" s="29">
        <f>K270/G2</f>
        <v>10273332.872340426</v>
      </c>
    </row>
    <row r="274" spans="1:11">
      <c r="A274" s="11"/>
      <c r="B274" s="11"/>
      <c r="C274" s="11"/>
      <c r="D274" s="11"/>
      <c r="E274" s="11"/>
      <c r="F274" s="11"/>
      <c r="G274" s="11"/>
      <c r="H274" s="11"/>
      <c r="I274" s="11" t="s">
        <v>491</v>
      </c>
      <c r="J274" s="11" t="s">
        <v>492</v>
      </c>
      <c r="K274" s="11" t="s">
        <v>493</v>
      </c>
    </row>
    <row r="277" spans="1:11" ht="30">
      <c r="B277" s="22" t="s">
        <v>854</v>
      </c>
      <c r="D277" s="98">
        <f>D270-D151+D152</f>
        <v>1314680</v>
      </c>
      <c r="G277" t="s">
        <v>25</v>
      </c>
      <c r="J277">
        <f>J270/I270*1448696</f>
        <v>668481.6648248242</v>
      </c>
      <c r="K277">
        <f>K270/I270*1448696</f>
        <v>780214.33517517592</v>
      </c>
    </row>
    <row r="278" spans="1:11">
      <c r="B278" s="7"/>
    </row>
    <row r="279" spans="1:11">
      <c r="B279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934</v>
      </c>
      <c r="B5" s="18">
        <v>-27000000</v>
      </c>
      <c r="C5" s="18">
        <v>0</v>
      </c>
      <c r="D5" s="3">
        <f t="shared" si="0"/>
        <v>-27000000</v>
      </c>
      <c r="E5" s="20" t="s">
        <v>1010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1034</v>
      </c>
      <c r="B6" s="18">
        <v>252436</v>
      </c>
      <c r="C6" s="18">
        <v>65510</v>
      </c>
      <c r="D6" s="3">
        <f t="shared" si="0"/>
        <v>186926</v>
      </c>
      <c r="E6" s="19" t="s">
        <v>1036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1008</v>
      </c>
      <c r="P34" t="s">
        <v>60</v>
      </c>
      <c r="Q34" t="s">
        <v>61</v>
      </c>
    </row>
    <row r="35" spans="4:17">
      <c r="D35" s="42">
        <v>200000</v>
      </c>
      <c r="E35" s="41" t="s">
        <v>1026</v>
      </c>
    </row>
    <row r="36" spans="4:17">
      <c r="D36" s="42">
        <v>245000</v>
      </c>
      <c r="E36" s="41" t="s">
        <v>1026</v>
      </c>
    </row>
    <row r="37" spans="4:17">
      <c r="D37" s="7">
        <v>-25000</v>
      </c>
      <c r="E37" s="41" t="s">
        <v>1030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1034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1073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1074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1078</v>
      </c>
      <c r="B4" s="18">
        <v>-52000000</v>
      </c>
      <c r="C4" s="18">
        <v>0</v>
      </c>
      <c r="D4" s="3">
        <f t="shared" si="0"/>
        <v>-52000000</v>
      </c>
      <c r="E4" s="11" t="s">
        <v>1081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1120</v>
      </c>
      <c r="B5" s="18">
        <v>-8000000</v>
      </c>
      <c r="C5" s="18">
        <v>-6772131</v>
      </c>
      <c r="D5" s="3">
        <f t="shared" si="0"/>
        <v>-1227869</v>
      </c>
      <c r="E5" s="20" t="s">
        <v>1010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1120</v>
      </c>
      <c r="B6" s="18">
        <v>-31230</v>
      </c>
      <c r="C6" s="18">
        <v>0</v>
      </c>
      <c r="D6" s="3">
        <f t="shared" si="0"/>
        <v>-31230</v>
      </c>
      <c r="E6" s="19" t="s">
        <v>1121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1147</v>
      </c>
      <c r="B7" s="39">
        <v>135087</v>
      </c>
      <c r="C7" s="39">
        <v>41130</v>
      </c>
      <c r="D7" s="35">
        <f t="shared" si="0"/>
        <v>93957</v>
      </c>
      <c r="E7" s="5" t="s">
        <v>1156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1076</v>
      </c>
      <c r="G31" s="9" t="s">
        <v>1037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1052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1075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1100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1128</v>
      </c>
      <c r="P35" t="s">
        <v>60</v>
      </c>
      <c r="Q35" t="s">
        <v>61</v>
      </c>
    </row>
    <row r="36" spans="4:17">
      <c r="D36" s="42">
        <v>79552</v>
      </c>
      <c r="E36" s="41" t="s">
        <v>1129</v>
      </c>
    </row>
    <row r="37" spans="4:17">
      <c r="D37" s="7">
        <v>-65500</v>
      </c>
      <c r="E37" s="41" t="s">
        <v>1131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1147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1158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1074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1177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1177</v>
      </c>
      <c r="B5" s="18">
        <v>-247840</v>
      </c>
      <c r="C5" s="18">
        <v>0</v>
      </c>
      <c r="D5" s="113">
        <f t="shared" si="0"/>
        <v>-247840</v>
      </c>
      <c r="E5" s="20" t="s">
        <v>1180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1183</v>
      </c>
      <c r="B6" s="18">
        <v>-162340</v>
      </c>
      <c r="C6" s="18">
        <v>0</v>
      </c>
      <c r="D6" s="113">
        <f t="shared" si="0"/>
        <v>-162340</v>
      </c>
      <c r="E6" s="19" t="s">
        <v>1186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1183</v>
      </c>
      <c r="B7" s="18">
        <v>-3000900</v>
      </c>
      <c r="C7" s="18">
        <v>0</v>
      </c>
      <c r="D7" s="113">
        <f t="shared" si="0"/>
        <v>-3000900</v>
      </c>
      <c r="E7" s="19" t="s">
        <v>1187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1199</v>
      </c>
      <c r="B8" s="18">
        <v>-1000500</v>
      </c>
      <c r="C8" s="18">
        <v>0</v>
      </c>
      <c r="D8" s="113">
        <f t="shared" si="0"/>
        <v>-1000500</v>
      </c>
      <c r="E8" s="19" t="s">
        <v>1201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1211</v>
      </c>
      <c r="B9" s="18">
        <v>-100000</v>
      </c>
      <c r="C9" s="18">
        <v>0</v>
      </c>
      <c r="D9" s="113">
        <f t="shared" si="0"/>
        <v>-100000</v>
      </c>
      <c r="E9" s="21" t="s">
        <v>1212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1215</v>
      </c>
      <c r="B10" s="18">
        <v>-2000000</v>
      </c>
      <c r="C10" s="18">
        <v>0</v>
      </c>
      <c r="D10" s="113">
        <f t="shared" si="0"/>
        <v>-2000000</v>
      </c>
      <c r="E10" s="19" t="s">
        <v>1109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1215</v>
      </c>
      <c r="B11" s="18">
        <v>-1000500</v>
      </c>
      <c r="C11" s="18">
        <v>0</v>
      </c>
      <c r="D11" s="113">
        <f t="shared" si="0"/>
        <v>-1000500</v>
      </c>
      <c r="E11" s="19" t="s">
        <v>1222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1225</v>
      </c>
      <c r="B12" s="18">
        <v>-5000</v>
      </c>
      <c r="C12" s="18">
        <v>0</v>
      </c>
      <c r="D12" s="113">
        <f t="shared" si="0"/>
        <v>-5000</v>
      </c>
      <c r="E12" s="20" t="s">
        <v>1212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3668</v>
      </c>
      <c r="B13" s="18">
        <v>3000000</v>
      </c>
      <c r="C13" s="18">
        <v>0</v>
      </c>
      <c r="D13" s="113">
        <f t="shared" si="0"/>
        <v>3000000</v>
      </c>
      <c r="E13" s="20" t="s">
        <v>3671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3672</v>
      </c>
      <c r="B14" s="18">
        <v>3000000</v>
      </c>
      <c r="C14" s="18">
        <v>0</v>
      </c>
      <c r="D14" s="113">
        <f t="shared" si="0"/>
        <v>3000000</v>
      </c>
      <c r="E14" s="20" t="s">
        <v>3671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3674</v>
      </c>
      <c r="B15" s="39">
        <v>20314</v>
      </c>
      <c r="C15" s="39">
        <v>59842</v>
      </c>
      <c r="D15" s="35">
        <f t="shared" si="0"/>
        <v>-39528</v>
      </c>
      <c r="E15" s="23" t="s">
        <v>3677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1178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1181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1203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1210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1220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1221</v>
      </c>
    </row>
    <row r="51" spans="1:18">
      <c r="D51" s="114">
        <v>1000000</v>
      </c>
      <c r="E51" s="41" t="s">
        <v>1223</v>
      </c>
    </row>
    <row r="52" spans="1:18">
      <c r="D52" s="114">
        <v>910500</v>
      </c>
      <c r="E52" s="41" t="s">
        <v>1230</v>
      </c>
    </row>
    <row r="53" spans="1:18">
      <c r="D53" s="114">
        <v>-300000</v>
      </c>
      <c r="E53" s="41" t="s">
        <v>1233</v>
      </c>
    </row>
    <row r="54" spans="1:18">
      <c r="D54" s="114">
        <v>-58500</v>
      </c>
      <c r="E54" s="41" t="s">
        <v>1234</v>
      </c>
    </row>
    <row r="55" spans="1:18">
      <c r="D55" s="114">
        <v>-1500000</v>
      </c>
      <c r="E55" s="41" t="s">
        <v>1237</v>
      </c>
    </row>
    <row r="56" spans="1:18">
      <c r="D56" s="114">
        <v>-61000</v>
      </c>
      <c r="E56" s="41" t="s">
        <v>1241</v>
      </c>
    </row>
    <row r="57" spans="1:18">
      <c r="D57" s="114">
        <v>1000000</v>
      </c>
      <c r="E57" s="41" t="s">
        <v>3660</v>
      </c>
    </row>
    <row r="58" spans="1:18">
      <c r="D58" s="114">
        <v>200000</v>
      </c>
      <c r="E58" s="41" t="s">
        <v>3670</v>
      </c>
    </row>
    <row r="59" spans="1:18">
      <c r="D59" s="114">
        <v>3000000</v>
      </c>
      <c r="E59" s="41" t="s">
        <v>3675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3674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3697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3698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3774</v>
      </c>
      <c r="B4" s="18">
        <v>-3000900</v>
      </c>
      <c r="C4" s="18">
        <v>0</v>
      </c>
      <c r="D4" s="113">
        <f t="shared" si="0"/>
        <v>-3000900</v>
      </c>
      <c r="E4" s="99" t="s">
        <v>3776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3794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1203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3713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3709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3709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3765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3781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3798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3799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3801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3804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3809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3794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3928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3893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3933</v>
      </c>
      <c r="B4" s="18">
        <v>-5000000</v>
      </c>
      <c r="C4" s="18">
        <v>0</v>
      </c>
      <c r="D4" s="113">
        <f t="shared" si="0"/>
        <v>-5000000</v>
      </c>
      <c r="E4" s="99" t="s">
        <v>3934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3957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1183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1183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1199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1211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1215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3882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3886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3887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3890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3892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3898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3899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3900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3903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3904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3909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3917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3949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3950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3670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3794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3982</v>
      </c>
      <c r="B3" s="18">
        <v>785000</v>
      </c>
      <c r="C3" s="18">
        <v>0</v>
      </c>
      <c r="D3" s="117">
        <f t="shared" ref="D3:D22" si="0">B3-C3</f>
        <v>785000</v>
      </c>
      <c r="E3" s="20" t="s">
        <v>1027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3982</v>
      </c>
      <c r="B4" s="18">
        <v>-32000</v>
      </c>
      <c r="C4" s="18">
        <v>0</v>
      </c>
      <c r="D4" s="113">
        <f t="shared" si="0"/>
        <v>-32000</v>
      </c>
      <c r="E4" s="99" t="s">
        <v>3965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3984</v>
      </c>
      <c r="B5" s="18">
        <v>-750000</v>
      </c>
      <c r="C5" s="18">
        <v>0</v>
      </c>
      <c r="D5" s="113">
        <f t="shared" si="0"/>
        <v>-750000</v>
      </c>
      <c r="E5" s="20" t="s">
        <v>3772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4016</v>
      </c>
      <c r="B6" s="18">
        <v>-9396</v>
      </c>
      <c r="C6" s="18">
        <v>0</v>
      </c>
      <c r="D6" s="113">
        <f t="shared" si="0"/>
        <v>-9396</v>
      </c>
      <c r="E6" s="19" t="s">
        <v>4019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4020</v>
      </c>
      <c r="B7" s="18">
        <v>-43300</v>
      </c>
      <c r="C7" s="18">
        <v>0</v>
      </c>
      <c r="D7" s="113">
        <f t="shared" si="0"/>
        <v>-43300</v>
      </c>
      <c r="E7" s="19" t="s">
        <v>4019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3689</v>
      </c>
      <c r="B8" s="18">
        <v>360000</v>
      </c>
      <c r="C8" s="18">
        <v>0</v>
      </c>
      <c r="D8" s="113">
        <f t="shared" si="0"/>
        <v>360000</v>
      </c>
      <c r="E8" s="19" t="s">
        <v>4033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4037</v>
      </c>
      <c r="B9" s="18">
        <v>3000000</v>
      </c>
      <c r="C9" s="18">
        <v>0</v>
      </c>
      <c r="D9" s="113">
        <f t="shared" si="0"/>
        <v>3000000</v>
      </c>
      <c r="E9" s="21" t="s">
        <v>4036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4035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1215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1225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3668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3672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3674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3964</v>
      </c>
      <c r="F31" s="96"/>
      <c r="G31" s="9" t="s">
        <v>1037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3968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3969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3971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3974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3978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3979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3987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3988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3989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3990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3992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3993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3995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3997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3998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3999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4001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4004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4007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4010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4012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4013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4018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4021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4039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935</v>
      </c>
      <c r="B58" s="3">
        <v>-457777</v>
      </c>
      <c r="C58" s="11" t="s">
        <v>929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1038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1017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1034</v>
      </c>
      <c r="B61" s="3">
        <v>4172</v>
      </c>
      <c r="C61" s="11" t="s">
        <v>1036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1040</v>
      </c>
      <c r="B62" s="3">
        <v>-161000</v>
      </c>
      <c r="C62" s="11" t="s">
        <v>1048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1053</v>
      </c>
      <c r="B63" s="3">
        <v>-149505</v>
      </c>
      <c r="C63" s="11" t="s">
        <v>1054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1066</v>
      </c>
      <c r="B64" s="3">
        <v>-4940</v>
      </c>
      <c r="C64" s="11" t="s">
        <v>1070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1147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1150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1199</v>
      </c>
      <c r="B67" s="3">
        <v>1000000</v>
      </c>
      <c r="C67" s="11" t="s">
        <v>1204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1215</v>
      </c>
      <c r="B68" s="3">
        <v>-910500</v>
      </c>
      <c r="C68" s="11" t="s">
        <v>1216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1224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1225</v>
      </c>
      <c r="B70" s="113">
        <v>-75000</v>
      </c>
      <c r="C70" s="99" t="s">
        <v>1227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3674</v>
      </c>
      <c r="B71" s="113">
        <v>1471</v>
      </c>
      <c r="C71" s="99" t="s">
        <v>3677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4254</v>
      </c>
      <c r="B72" s="113">
        <v>-5000</v>
      </c>
      <c r="C72" s="99" t="s">
        <v>4255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4043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4040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4042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4048</v>
      </c>
      <c r="B4" s="18">
        <v>-35800</v>
      </c>
      <c r="C4" s="18">
        <v>0</v>
      </c>
      <c r="D4" s="113">
        <f t="shared" si="0"/>
        <v>-35800</v>
      </c>
      <c r="E4" s="99" t="s">
        <v>3965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4047</v>
      </c>
      <c r="B5" s="18">
        <v>3600000</v>
      </c>
      <c r="C5" s="18">
        <v>0</v>
      </c>
      <c r="D5" s="113">
        <f t="shared" si="0"/>
        <v>3600000</v>
      </c>
      <c r="E5" s="20" t="s">
        <v>3893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4047</v>
      </c>
      <c r="B6" s="18">
        <v>-33377</v>
      </c>
      <c r="C6" s="18">
        <v>0</v>
      </c>
      <c r="D6" s="113">
        <f t="shared" si="0"/>
        <v>-33377</v>
      </c>
      <c r="E6" s="19" t="s">
        <v>4051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4070</v>
      </c>
      <c r="B7" s="18">
        <v>-9800000</v>
      </c>
      <c r="C7" s="18">
        <v>0</v>
      </c>
      <c r="D7" s="113">
        <f t="shared" si="0"/>
        <v>-9800000</v>
      </c>
      <c r="E7" s="19" t="s">
        <v>1219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4070</v>
      </c>
      <c r="B8" s="18">
        <v>18000000</v>
      </c>
      <c r="C8" s="18">
        <v>0</v>
      </c>
      <c r="D8" s="113">
        <f t="shared" si="0"/>
        <v>18000000</v>
      </c>
      <c r="E8" s="19" t="s">
        <v>4071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4070</v>
      </c>
      <c r="B9" s="18">
        <v>-9000000</v>
      </c>
      <c r="C9" s="18">
        <v>0</v>
      </c>
      <c r="D9" s="113">
        <f t="shared" si="0"/>
        <v>-9000000</v>
      </c>
      <c r="E9" s="21" t="s">
        <v>1219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-11600</v>
      </c>
      <c r="C10" s="18">
        <v>0</v>
      </c>
      <c r="D10" s="113">
        <f t="shared" si="0"/>
        <v>-11600</v>
      </c>
      <c r="E10" s="19" t="s">
        <v>4074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4070</v>
      </c>
      <c r="B11" s="18">
        <v>-3304327</v>
      </c>
      <c r="C11" s="18">
        <v>0</v>
      </c>
      <c r="D11" s="113">
        <f t="shared" si="0"/>
        <v>-3304327</v>
      </c>
      <c r="E11" s="19" t="s">
        <v>4075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4079</v>
      </c>
      <c r="B12" s="18">
        <v>-3000900</v>
      </c>
      <c r="C12" s="18">
        <v>0</v>
      </c>
      <c r="D12" s="113">
        <f t="shared" si="0"/>
        <v>-3000900</v>
      </c>
      <c r="E12" s="20" t="s">
        <v>4080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4084</v>
      </c>
      <c r="B13" s="18">
        <v>-2760900</v>
      </c>
      <c r="C13" s="18">
        <v>0</v>
      </c>
      <c r="D13" s="113">
        <f t="shared" si="0"/>
        <v>-2760900</v>
      </c>
      <c r="E13" s="20" t="s">
        <v>4085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4098</v>
      </c>
      <c r="B14" s="18">
        <v>1000000</v>
      </c>
      <c r="C14" s="18">
        <v>0</v>
      </c>
      <c r="D14" s="113">
        <f t="shared" si="0"/>
        <v>1000000</v>
      </c>
      <c r="E14" s="20" t="s">
        <v>4077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4110</v>
      </c>
      <c r="B16" s="18">
        <v>-990000</v>
      </c>
      <c r="C16" s="18">
        <v>0</v>
      </c>
      <c r="D16" s="113">
        <f t="shared" si="0"/>
        <v>-990000</v>
      </c>
      <c r="E16" s="20" t="s">
        <v>3772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4110</v>
      </c>
      <c r="B17" s="18">
        <v>783000</v>
      </c>
      <c r="C17" s="18">
        <v>0</v>
      </c>
      <c r="D17" s="113">
        <f t="shared" si="0"/>
        <v>783000</v>
      </c>
      <c r="E17" s="20" t="s">
        <v>4117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4120</v>
      </c>
      <c r="B18" s="18">
        <v>-750500</v>
      </c>
      <c r="C18" s="18">
        <v>0</v>
      </c>
      <c r="D18" s="113">
        <f t="shared" si="0"/>
        <v>-750500</v>
      </c>
      <c r="E18" s="20" t="s">
        <v>4121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4133</v>
      </c>
      <c r="B19" s="18">
        <v>700000</v>
      </c>
      <c r="C19" s="18">
        <v>0</v>
      </c>
      <c r="D19" s="113">
        <f t="shared" si="0"/>
        <v>700000</v>
      </c>
      <c r="E19" s="20" t="s">
        <v>3893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4133</v>
      </c>
      <c r="B20" s="18">
        <v>-99000</v>
      </c>
      <c r="C20" s="18">
        <v>0</v>
      </c>
      <c r="D20" s="113">
        <f t="shared" si="0"/>
        <v>-99000</v>
      </c>
      <c r="E20" s="19" t="s">
        <v>4135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4136</v>
      </c>
      <c r="B21" s="18">
        <v>-205750</v>
      </c>
      <c r="C21" s="18">
        <v>0</v>
      </c>
      <c r="D21" s="113">
        <f t="shared" si="0"/>
        <v>-205750</v>
      </c>
      <c r="E21" s="19" t="s">
        <v>4137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4136</v>
      </c>
      <c r="B22" s="18">
        <v>-95000</v>
      </c>
      <c r="C22" s="18">
        <v>0</v>
      </c>
      <c r="D22" s="113">
        <f t="shared" si="0"/>
        <v>-95000</v>
      </c>
      <c r="E22" s="19" t="s">
        <v>4138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4154</v>
      </c>
      <c r="B23" s="18">
        <v>48650000</v>
      </c>
      <c r="C23" s="18">
        <v>0</v>
      </c>
      <c r="D23" s="113">
        <f t="shared" si="0"/>
        <v>48650000</v>
      </c>
      <c r="E23" s="19" t="s">
        <v>4155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4154</v>
      </c>
      <c r="B24" s="18">
        <v>-3005900</v>
      </c>
      <c r="C24" s="18">
        <v>0</v>
      </c>
      <c r="D24" s="113">
        <f t="shared" si="0"/>
        <v>-3005900</v>
      </c>
      <c r="E24" s="19" t="s">
        <v>4157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4159</v>
      </c>
      <c r="B25" s="18">
        <v>-33500000</v>
      </c>
      <c r="C25" s="18">
        <v>0</v>
      </c>
      <c r="D25" s="113">
        <f t="shared" si="0"/>
        <v>-33500000</v>
      </c>
      <c r="E25" s="19" t="s">
        <v>3772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4159</v>
      </c>
      <c r="B26" s="18">
        <v>-12435000</v>
      </c>
      <c r="C26" s="18">
        <v>0</v>
      </c>
      <c r="D26" s="113">
        <f t="shared" si="0"/>
        <v>-12435000</v>
      </c>
      <c r="E26" s="19" t="s">
        <v>3772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4172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4173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4169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4044</v>
      </c>
      <c r="F36" s="96"/>
      <c r="G36" s="9" t="s">
        <v>1037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4046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4052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4069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4078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4088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4097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4099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4100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4111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4111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4115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4116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4118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4119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4127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4123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4124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4128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4126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4129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4130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4132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4134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4135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4146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4147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4149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4151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4158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4161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4162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4163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4164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4166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4170</v>
      </c>
      <c r="F82" s="96"/>
      <c r="G82" s="96"/>
      <c r="H82" s="96"/>
      <c r="I82" s="96"/>
    </row>
    <row r="83" spans="1:9">
      <c r="D83" s="114">
        <v>-150000</v>
      </c>
      <c r="E83" s="41" t="s">
        <v>4171</v>
      </c>
    </row>
    <row r="84" spans="1:9">
      <c r="D84" s="114">
        <v>-150000</v>
      </c>
      <c r="E84" s="41" t="s">
        <v>1219</v>
      </c>
    </row>
    <row r="85" spans="1:9">
      <c r="D85" s="114">
        <v>43500</v>
      </c>
      <c r="E85" s="41" t="s">
        <v>4174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10" workbookViewId="0">
      <selection activeCell="G39" sqref="G39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4169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4175</v>
      </c>
      <c r="B3" s="18">
        <v>830000</v>
      </c>
      <c r="C3" s="18">
        <v>0</v>
      </c>
      <c r="D3" s="117">
        <f t="shared" ref="D3:D26" si="0">B3-C3</f>
        <v>830000</v>
      </c>
      <c r="E3" s="20" t="s">
        <v>4177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4192</v>
      </c>
      <c r="B4" s="18">
        <v>-52440</v>
      </c>
      <c r="C4" s="18">
        <v>0</v>
      </c>
      <c r="D4" s="113">
        <f t="shared" si="0"/>
        <v>-52440</v>
      </c>
      <c r="E4" s="99" t="s">
        <v>4194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4195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4196</v>
      </c>
      <c r="B6" s="18">
        <v>-200000</v>
      </c>
      <c r="C6" s="18">
        <v>0</v>
      </c>
      <c r="D6" s="113">
        <f t="shared" si="0"/>
        <v>-200000</v>
      </c>
      <c r="E6" s="19" t="s">
        <v>4197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4198</v>
      </c>
      <c r="B7" s="18">
        <v>-28000</v>
      </c>
      <c r="C7" s="18">
        <v>0</v>
      </c>
      <c r="D7" s="113">
        <f t="shared" si="0"/>
        <v>-28000</v>
      </c>
      <c r="E7" s="19" t="s">
        <v>1039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4199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4199</v>
      </c>
      <c r="B9" s="18">
        <v>-30000</v>
      </c>
      <c r="C9" s="18">
        <v>0</v>
      </c>
      <c r="D9" s="113">
        <f t="shared" si="0"/>
        <v>-30000</v>
      </c>
      <c r="E9" s="21" t="s">
        <v>4200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4070</v>
      </c>
      <c r="B10" s="18">
        <v>-178000</v>
      </c>
      <c r="C10" s="18">
        <v>0</v>
      </c>
      <c r="D10" s="113">
        <f t="shared" si="0"/>
        <v>-178000</v>
      </c>
      <c r="E10" s="19" t="s">
        <v>4203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4204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4168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4208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4213</v>
      </c>
      <c r="B14" s="18">
        <v>1548000</v>
      </c>
      <c r="C14" s="18">
        <v>0</v>
      </c>
      <c r="D14" s="113">
        <f t="shared" si="0"/>
        <v>1548000</v>
      </c>
      <c r="E14" s="20" t="s">
        <v>4253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4244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4254</v>
      </c>
      <c r="B16" s="18">
        <v>-5000</v>
      </c>
      <c r="C16" s="18">
        <v>-2500</v>
      </c>
      <c r="D16" s="113">
        <f t="shared" si="0"/>
        <v>-2500</v>
      </c>
      <c r="E16" s="20" t="s">
        <v>4255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4268</v>
      </c>
      <c r="B17" s="18">
        <v>-190000</v>
      </c>
      <c r="C17" s="18">
        <v>0</v>
      </c>
      <c r="D17" s="113">
        <f t="shared" si="0"/>
        <v>-190000</v>
      </c>
      <c r="E17" s="20" t="s">
        <v>4269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4296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4133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4133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4136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4136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4178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4179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4187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4188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4039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3777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4039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4203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4205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4207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4207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4209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4214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4252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4263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4267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4273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4274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4275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4278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4281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4282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4292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4294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4295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4297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workbookViewId="0">
      <selection activeCell="F96" sqref="F9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4296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4315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3893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4321</v>
      </c>
      <c r="B4" s="18">
        <v>-3200000</v>
      </c>
      <c r="C4" s="18">
        <v>0</v>
      </c>
      <c r="D4" s="113">
        <f t="shared" si="0"/>
        <v>-3200000</v>
      </c>
      <c r="E4" s="99" t="s">
        <v>4332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4321</v>
      </c>
      <c r="B5" s="18">
        <v>2400000</v>
      </c>
      <c r="C5" s="18">
        <v>0</v>
      </c>
      <c r="D5" s="113">
        <f t="shared" si="0"/>
        <v>2400000</v>
      </c>
      <c r="E5" s="20" t="s">
        <v>4335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4343</v>
      </c>
      <c r="B6" s="18">
        <v>-2000700</v>
      </c>
      <c r="C6" s="18">
        <v>0</v>
      </c>
      <c r="D6" s="113">
        <f t="shared" si="0"/>
        <v>-2000700</v>
      </c>
      <c r="E6" s="19" t="s">
        <v>4344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4343</v>
      </c>
      <c r="B7" s="18">
        <v>-200000</v>
      </c>
      <c r="C7" s="18">
        <v>0</v>
      </c>
      <c r="D7" s="113">
        <f t="shared" si="0"/>
        <v>-200000</v>
      </c>
      <c r="E7" s="19" t="s">
        <v>4345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4343</v>
      </c>
      <c r="B8" s="18">
        <v>-1900000</v>
      </c>
      <c r="C8" s="18">
        <v>0</v>
      </c>
      <c r="D8" s="113">
        <f t="shared" si="0"/>
        <v>-1900000</v>
      </c>
      <c r="E8" s="19" t="s">
        <v>4346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4349</v>
      </c>
      <c r="B9" s="18">
        <v>-50000</v>
      </c>
      <c r="C9" s="18">
        <v>0</v>
      </c>
      <c r="D9" s="113">
        <f t="shared" si="0"/>
        <v>-50000</v>
      </c>
      <c r="E9" s="21" t="s">
        <v>4350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4362</v>
      </c>
      <c r="B10" s="18">
        <v>9700000</v>
      </c>
      <c r="C10" s="18">
        <v>0</v>
      </c>
      <c r="D10" s="113">
        <f t="shared" si="0"/>
        <v>9700000</v>
      </c>
      <c r="E10" s="19" t="s">
        <v>3893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4362</v>
      </c>
      <c r="B11" s="18">
        <v>-3000900</v>
      </c>
      <c r="C11" s="18">
        <v>0</v>
      </c>
      <c r="D11" s="113">
        <f t="shared" si="0"/>
        <v>-3000900</v>
      </c>
      <c r="E11" s="19" t="s">
        <v>4370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4363</v>
      </c>
      <c r="B12" s="18">
        <v>-3000900</v>
      </c>
      <c r="C12" s="18">
        <v>0</v>
      </c>
      <c r="D12" s="113">
        <f t="shared" si="0"/>
        <v>-3000900</v>
      </c>
      <c r="E12" s="20" t="s">
        <v>4370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4363</v>
      </c>
      <c r="B13" s="18">
        <v>-555000</v>
      </c>
      <c r="C13" s="18">
        <v>0</v>
      </c>
      <c r="D13" s="113">
        <f t="shared" si="0"/>
        <v>-555000</v>
      </c>
      <c r="E13" s="20" t="s">
        <v>4269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4382</v>
      </c>
      <c r="B14" s="18">
        <v>-138360</v>
      </c>
      <c r="C14" s="18">
        <v>0</v>
      </c>
      <c r="D14" s="113">
        <f t="shared" si="0"/>
        <v>-138360</v>
      </c>
      <c r="E14" s="20" t="s">
        <v>4383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4385</v>
      </c>
      <c r="B15" s="18">
        <v>-3000900</v>
      </c>
      <c r="C15" s="18">
        <v>0</v>
      </c>
      <c r="D15" s="117">
        <f t="shared" si="0"/>
        <v>-3000900</v>
      </c>
      <c r="E15" s="20" t="s">
        <v>4370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4391</v>
      </c>
      <c r="B16" s="18">
        <v>-55000</v>
      </c>
      <c r="C16" s="18">
        <v>0</v>
      </c>
      <c r="D16" s="113">
        <f t="shared" si="0"/>
        <v>-55000</v>
      </c>
      <c r="E16" s="20" t="s">
        <v>4156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4408</v>
      </c>
      <c r="B17" s="18">
        <v>6035000</v>
      </c>
      <c r="C17" s="18">
        <v>0</v>
      </c>
      <c r="D17" s="113">
        <f t="shared" si="0"/>
        <v>6035000</v>
      </c>
      <c r="E17" s="20" t="s">
        <v>3893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4419</v>
      </c>
      <c r="B18" s="18">
        <v>-4098523</v>
      </c>
      <c r="C18" s="18">
        <v>0</v>
      </c>
      <c r="D18" s="113">
        <f t="shared" si="0"/>
        <v>-4098523</v>
      </c>
      <c r="E18" s="20" t="s">
        <v>4418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4419</v>
      </c>
      <c r="B19" s="18">
        <v>-33225</v>
      </c>
      <c r="C19" s="18">
        <v>0</v>
      </c>
      <c r="D19" s="113">
        <f t="shared" si="0"/>
        <v>-33225</v>
      </c>
      <c r="E19" s="20" t="s">
        <v>4269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4419</v>
      </c>
      <c r="B20" s="18">
        <v>-1895000</v>
      </c>
      <c r="C20" s="18">
        <v>0</v>
      </c>
      <c r="D20" s="113">
        <f t="shared" si="0"/>
        <v>-1895000</v>
      </c>
      <c r="E20" s="19" t="s">
        <v>3772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4415</v>
      </c>
      <c r="B21" s="18">
        <v>-7500</v>
      </c>
      <c r="C21" s="18">
        <v>0</v>
      </c>
      <c r="D21" s="113">
        <f t="shared" si="0"/>
        <v>-7500</v>
      </c>
      <c r="E21" s="19" t="s">
        <v>4416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4452</v>
      </c>
      <c r="B22" s="18">
        <v>7964</v>
      </c>
      <c r="C22" s="18">
        <v>65497</v>
      </c>
      <c r="D22" s="113">
        <f t="shared" si="0"/>
        <v>-57533</v>
      </c>
      <c r="E22" s="19" t="s">
        <v>4453</v>
      </c>
      <c r="F22" s="96">
        <v>10</v>
      </c>
      <c r="G22" s="96">
        <f t="shared" si="1"/>
        <v>79640</v>
      </c>
      <c r="H22" s="96">
        <f t="shared" si="2"/>
        <v>654970</v>
      </c>
      <c r="I22" s="96">
        <f t="shared" si="3"/>
        <v>-575330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4154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4154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4159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4172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16094</v>
      </c>
      <c r="C27" s="113">
        <f>SUM(C2:C26)</f>
        <v>8034286</v>
      </c>
      <c r="D27" s="113">
        <f>SUM(D2:D26)</f>
        <v>-8018192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29148540</v>
      </c>
      <c r="H28" s="18">
        <f>SUM(H2:H26)</f>
        <v>239718640</v>
      </c>
      <c r="I28" s="18">
        <f>SUM(I2:I26)</f>
        <v>-210570100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f>G28*100000/365000000</f>
        <v>7985.9013698630133</v>
      </c>
      <c r="H33" s="18">
        <f>G33*H28/G28</f>
        <v>65676.339726027392</v>
      </c>
      <c r="I33" s="18">
        <f>G33*I28/G28</f>
        <v>-57690.438356164377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4299</v>
      </c>
      <c r="F34" s="96"/>
      <c r="G34" s="9" t="s">
        <v>1037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4298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4300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4301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4304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4307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4308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4312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4313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4314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4316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4317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4318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4324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4331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4336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4351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4348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4347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4352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4355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4359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4366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4367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4368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4369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4366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4371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4376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4377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4381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4386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4388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4390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4392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4393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4394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4395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4397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4395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4399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4400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4401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4402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4403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4404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4407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4409</v>
      </c>
    </row>
    <row r="82" spans="4:5">
      <c r="D82" s="114">
        <v>-142143</v>
      </c>
      <c r="E82" s="54" t="s">
        <v>4413</v>
      </c>
    </row>
    <row r="83" spans="4:5">
      <c r="D83" s="114">
        <v>-128352</v>
      </c>
      <c r="E83" s="54" t="s">
        <v>4412</v>
      </c>
    </row>
    <row r="84" spans="4:5">
      <c r="D84" s="114">
        <v>-6035000</v>
      </c>
      <c r="E84" s="54" t="s">
        <v>4422</v>
      </c>
    </row>
    <row r="85" spans="4:5">
      <c r="D85" s="114">
        <v>-55957</v>
      </c>
      <c r="E85" s="54" t="s">
        <v>4421</v>
      </c>
    </row>
    <row r="86" spans="4:5">
      <c r="D86" s="114">
        <v>7500</v>
      </c>
      <c r="E86" s="54" t="s">
        <v>4420</v>
      </c>
    </row>
    <row r="87" spans="4:5">
      <c r="D87" s="114">
        <v>1700000</v>
      </c>
      <c r="E87" s="54" t="s">
        <v>4423</v>
      </c>
    </row>
    <row r="88" spans="4:5">
      <c r="D88" s="114">
        <v>129648</v>
      </c>
      <c r="E88" s="54" t="s">
        <v>4424</v>
      </c>
    </row>
    <row r="89" spans="4:5">
      <c r="D89" s="114">
        <v>1000000</v>
      </c>
      <c r="E89" s="54" t="s">
        <v>4427</v>
      </c>
    </row>
    <row r="90" spans="4:5">
      <c r="D90" s="114">
        <v>-53003</v>
      </c>
      <c r="E90" s="54" t="s">
        <v>4428</v>
      </c>
    </row>
    <row r="91" spans="4:5">
      <c r="D91" s="114">
        <v>-23690</v>
      </c>
      <c r="E91" s="54" t="s">
        <v>4428</v>
      </c>
    </row>
    <row r="92" spans="4:5">
      <c r="D92" s="114">
        <v>-216910</v>
      </c>
      <c r="E92" s="54" t="s">
        <v>4430</v>
      </c>
    </row>
    <row r="93" spans="4:5">
      <c r="D93" s="114">
        <v>-30304</v>
      </c>
      <c r="E93" s="54" t="s">
        <v>4434</v>
      </c>
    </row>
    <row r="94" spans="4:5">
      <c r="D94" s="114">
        <v>-10067</v>
      </c>
      <c r="E94" s="54" t="s">
        <v>4435</v>
      </c>
    </row>
    <row r="95" spans="4:5">
      <c r="D95" s="114">
        <v>-16248</v>
      </c>
      <c r="E95" s="54" t="s">
        <v>4437</v>
      </c>
    </row>
    <row r="96" spans="4:5">
      <c r="D96" s="114">
        <v>-87695</v>
      </c>
      <c r="E96" s="54" t="s">
        <v>4438</v>
      </c>
    </row>
    <row r="97" spans="4:7">
      <c r="D97" s="114">
        <v>-29231</v>
      </c>
      <c r="E97" s="54" t="s">
        <v>4439</v>
      </c>
    </row>
    <row r="98" spans="4:7">
      <c r="D98" s="114">
        <v>1000000</v>
      </c>
      <c r="E98" s="54" t="s">
        <v>4440</v>
      </c>
    </row>
    <row r="99" spans="4:7">
      <c r="D99" s="114">
        <v>-35250</v>
      </c>
      <c r="E99" s="54" t="s">
        <v>4441</v>
      </c>
    </row>
    <row r="100" spans="4:7">
      <c r="D100" s="114">
        <v>-57477</v>
      </c>
      <c r="E100" s="54" t="s">
        <v>4442</v>
      </c>
    </row>
    <row r="101" spans="4:7">
      <c r="D101" s="114">
        <v>-13565</v>
      </c>
      <c r="E101" s="54" t="s">
        <v>4443</v>
      </c>
    </row>
    <row r="102" spans="4:7">
      <c r="D102" s="114">
        <v>-9429</v>
      </c>
      <c r="E102" s="54" t="s">
        <v>4444</v>
      </c>
    </row>
    <row r="103" spans="4:7">
      <c r="D103" s="114">
        <v>-600000</v>
      </c>
      <c r="E103" s="54" t="s">
        <v>4445</v>
      </c>
    </row>
    <row r="104" spans="4:7">
      <c r="D104" s="114">
        <v>335</v>
      </c>
      <c r="E104" s="54" t="s">
        <v>4447</v>
      </c>
    </row>
    <row r="105" spans="4:7">
      <c r="D105" s="114">
        <v>31026</v>
      </c>
      <c r="E105" s="54" t="s">
        <v>4448</v>
      </c>
      <c r="G105" t="s">
        <v>25</v>
      </c>
    </row>
    <row r="106" spans="4:7">
      <c r="D106" s="114" t="s">
        <v>25</v>
      </c>
      <c r="E106" s="54" t="s">
        <v>25</v>
      </c>
    </row>
    <row r="107" spans="4:7">
      <c r="D107" s="96"/>
      <c r="E107" s="54" t="s">
        <v>25</v>
      </c>
    </row>
    <row r="108" spans="4:7">
      <c r="D108" s="114">
        <f>SUM(D33:D107)</f>
        <v>-54623926</v>
      </c>
      <c r="E108" s="96" t="s">
        <v>6</v>
      </c>
    </row>
    <row r="109" spans="4:7">
      <c r="D109" s="114"/>
      <c r="E109" s="41"/>
    </row>
    <row r="110" spans="4:7">
      <c r="D110" s="96"/>
      <c r="E110" s="96" t="s">
        <v>25</v>
      </c>
    </row>
    <row r="111" spans="4:7">
      <c r="E111" t="s">
        <v>25</v>
      </c>
    </row>
    <row r="113" spans="5:5">
      <c r="E113" t="s">
        <v>25</v>
      </c>
    </row>
    <row r="114" spans="5:5">
      <c r="E114" t="s">
        <v>25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9"/>
  <sheetViews>
    <sheetView topLeftCell="A37" workbookViewId="0">
      <selection activeCell="C37" sqref="C37"/>
    </sheetView>
  </sheetViews>
  <sheetFormatPr defaultRowHeight="15"/>
  <cols>
    <col min="2" max="2" width="15.85546875" bestFit="1" customWidth="1"/>
    <col min="3" max="3" width="15.140625" bestFit="1" customWidth="1"/>
    <col min="4" max="4" width="16.140625" bestFit="1" customWidth="1"/>
    <col min="5" max="5" width="34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1" max="11" width="7.140625" bestFit="1" customWidth="1"/>
    <col min="12" max="12" width="9.7109375" bestFit="1" customWidth="1"/>
    <col min="13" max="13" width="9.570312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4446</v>
      </c>
      <c r="B2" s="113">
        <f>آبان97!B27</f>
        <v>16094</v>
      </c>
      <c r="C2" s="1">
        <f>آبان97!C27</f>
        <v>8034286</v>
      </c>
      <c r="D2" s="113">
        <f>B2-C2</f>
        <v>-8018192</v>
      </c>
      <c r="E2" s="169" t="s">
        <v>59</v>
      </c>
      <c r="F2" s="96">
        <v>30</v>
      </c>
      <c r="G2" s="96">
        <f>B2*F2</f>
        <v>482820</v>
      </c>
      <c r="H2" s="96">
        <f>C2*F2</f>
        <v>241028580</v>
      </c>
      <c r="I2" s="96">
        <f>D2*F2</f>
        <v>-240545760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4454</v>
      </c>
      <c r="B3" s="18">
        <v>2500000</v>
      </c>
      <c r="C3" s="18">
        <v>0</v>
      </c>
      <c r="D3" s="117">
        <f t="shared" ref="D3:D31" si="0">B3-C3</f>
        <v>2500000</v>
      </c>
      <c r="E3" s="20" t="s">
        <v>3893</v>
      </c>
      <c r="F3" s="96">
        <v>27</v>
      </c>
      <c r="G3" s="96">
        <f t="shared" ref="G3:G30" si="1">B3*F3</f>
        <v>67500000</v>
      </c>
      <c r="H3" s="96">
        <f t="shared" ref="H3:H30" si="2">C3*F3</f>
        <v>0</v>
      </c>
      <c r="I3" s="96">
        <f t="shared" ref="I3:I30" si="3">D3*F3</f>
        <v>67500000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4456</v>
      </c>
      <c r="B4" s="18">
        <v>-2500000</v>
      </c>
      <c r="C4" s="18">
        <v>0</v>
      </c>
      <c r="D4" s="113">
        <f t="shared" si="0"/>
        <v>-2500000</v>
      </c>
      <c r="E4" s="99" t="s">
        <v>3772</v>
      </c>
      <c r="F4" s="96">
        <v>26</v>
      </c>
      <c r="G4" s="96">
        <f t="shared" si="1"/>
        <v>-65000000</v>
      </c>
      <c r="H4" s="96">
        <f t="shared" si="2"/>
        <v>0</v>
      </c>
      <c r="I4" s="96">
        <f t="shared" si="3"/>
        <v>-65000000</v>
      </c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</row>
    <row r="5" spans="1:20">
      <c r="A5" s="30" t="s">
        <v>4461</v>
      </c>
      <c r="B5" s="18">
        <v>1100000</v>
      </c>
      <c r="C5" s="18">
        <v>0</v>
      </c>
      <c r="D5" s="113">
        <f t="shared" si="0"/>
        <v>1100000</v>
      </c>
      <c r="E5" s="20" t="s">
        <v>4335</v>
      </c>
      <c r="F5" s="96">
        <v>23</v>
      </c>
      <c r="G5" s="96">
        <f t="shared" si="1"/>
        <v>25300000</v>
      </c>
      <c r="H5" s="96">
        <f t="shared" si="2"/>
        <v>0</v>
      </c>
      <c r="I5" s="96">
        <f t="shared" si="3"/>
        <v>25300000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4467</v>
      </c>
      <c r="B6" s="18">
        <v>3000000</v>
      </c>
      <c r="C6" s="18">
        <v>0</v>
      </c>
      <c r="D6" s="113">
        <f t="shared" si="0"/>
        <v>3000000</v>
      </c>
      <c r="E6" s="19" t="s">
        <v>4468</v>
      </c>
      <c r="F6" s="96">
        <v>22</v>
      </c>
      <c r="G6" s="96">
        <f t="shared" si="1"/>
        <v>66000000</v>
      </c>
      <c r="H6" s="96">
        <f t="shared" si="2"/>
        <v>0</v>
      </c>
      <c r="I6" s="96">
        <f t="shared" si="3"/>
        <v>66000000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4460</v>
      </c>
      <c r="B7" s="18">
        <v>-2000700</v>
      </c>
      <c r="C7" s="18">
        <v>0</v>
      </c>
      <c r="D7" s="113">
        <f t="shared" si="0"/>
        <v>-2000700</v>
      </c>
      <c r="E7" s="19" t="s">
        <v>4499</v>
      </c>
      <c r="F7" s="96">
        <v>21</v>
      </c>
      <c r="G7" s="96">
        <f t="shared" si="1"/>
        <v>-42014700</v>
      </c>
      <c r="H7" s="96">
        <f t="shared" si="2"/>
        <v>0</v>
      </c>
      <c r="I7" s="96">
        <f t="shared" si="3"/>
        <v>-42014700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4460</v>
      </c>
      <c r="B8" s="18">
        <v>-40000</v>
      </c>
      <c r="C8" s="18">
        <v>0</v>
      </c>
      <c r="D8" s="113">
        <f t="shared" si="0"/>
        <v>-40000</v>
      </c>
      <c r="E8" s="19" t="s">
        <v>1136</v>
      </c>
      <c r="F8" s="96">
        <v>21</v>
      </c>
      <c r="G8" s="96">
        <f t="shared" si="1"/>
        <v>-840000</v>
      </c>
      <c r="H8" s="96">
        <f t="shared" si="2"/>
        <v>0</v>
      </c>
      <c r="I8" s="96">
        <f t="shared" si="3"/>
        <v>-840000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4460</v>
      </c>
      <c r="B9" s="18">
        <v>-2000000</v>
      </c>
      <c r="C9" s="18">
        <v>0</v>
      </c>
      <c r="D9" s="113">
        <f t="shared" si="0"/>
        <v>-2000000</v>
      </c>
      <c r="E9" s="21" t="s">
        <v>3772</v>
      </c>
      <c r="F9" s="96">
        <v>21</v>
      </c>
      <c r="G9" s="96">
        <f t="shared" si="1"/>
        <v>-42000000</v>
      </c>
      <c r="H9" s="96">
        <f t="shared" si="2"/>
        <v>0</v>
      </c>
      <c r="I9" s="96">
        <f t="shared" si="3"/>
        <v>-42000000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4460</v>
      </c>
      <c r="B10" s="18">
        <v>490000</v>
      </c>
      <c r="C10" s="18">
        <v>0</v>
      </c>
      <c r="D10" s="113">
        <f t="shared" si="0"/>
        <v>490000</v>
      </c>
      <c r="E10" s="19" t="s">
        <v>3893</v>
      </c>
      <c r="F10" s="96">
        <v>20</v>
      </c>
      <c r="G10" s="96">
        <f t="shared" si="1"/>
        <v>9800000</v>
      </c>
      <c r="H10" s="96">
        <f t="shared" si="2"/>
        <v>0</v>
      </c>
      <c r="I10" s="96">
        <f t="shared" si="3"/>
        <v>9800000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4508</v>
      </c>
      <c r="B11" s="18">
        <v>1400000</v>
      </c>
      <c r="C11" s="18">
        <v>0</v>
      </c>
      <c r="D11" s="113">
        <f t="shared" si="0"/>
        <v>1400000</v>
      </c>
      <c r="E11" s="19" t="s">
        <v>3893</v>
      </c>
      <c r="F11" s="96">
        <v>19</v>
      </c>
      <c r="G11" s="96">
        <f t="shared" si="1"/>
        <v>26600000</v>
      </c>
      <c r="H11" s="96">
        <f t="shared" si="2"/>
        <v>0</v>
      </c>
      <c r="I11" s="96">
        <f t="shared" si="3"/>
        <v>26600000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4508</v>
      </c>
      <c r="B12" s="18">
        <v>-1500000</v>
      </c>
      <c r="C12" s="18">
        <v>0</v>
      </c>
      <c r="D12" s="113">
        <f t="shared" si="0"/>
        <v>-1500000</v>
      </c>
      <c r="E12" s="20" t="s">
        <v>3772</v>
      </c>
      <c r="F12" s="96">
        <v>19</v>
      </c>
      <c r="G12" s="96">
        <f t="shared" si="1"/>
        <v>-28500000</v>
      </c>
      <c r="H12" s="96">
        <f t="shared" si="2"/>
        <v>0</v>
      </c>
      <c r="I12" s="96">
        <f t="shared" si="3"/>
        <v>-28500000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4517</v>
      </c>
      <c r="B13" s="18">
        <v>-100000</v>
      </c>
      <c r="C13" s="18">
        <v>0</v>
      </c>
      <c r="D13" s="113">
        <f t="shared" si="0"/>
        <v>-100000</v>
      </c>
      <c r="E13" s="20" t="s">
        <v>3772</v>
      </c>
      <c r="F13" s="96">
        <v>19</v>
      </c>
      <c r="G13" s="96">
        <f>B13*F13</f>
        <v>-1900000</v>
      </c>
      <c r="H13" s="96">
        <f t="shared" si="2"/>
        <v>0</v>
      </c>
      <c r="I13" s="96">
        <f t="shared" si="3"/>
        <v>-1900000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4235</v>
      </c>
      <c r="B14" s="18">
        <v>-13900</v>
      </c>
      <c r="C14" s="18">
        <v>0</v>
      </c>
      <c r="D14" s="113">
        <f t="shared" si="0"/>
        <v>-13900</v>
      </c>
      <c r="E14" s="20" t="s">
        <v>4017</v>
      </c>
      <c r="F14" s="96">
        <v>18</v>
      </c>
      <c r="G14" s="96">
        <f t="shared" si="1"/>
        <v>-250200</v>
      </c>
      <c r="H14" s="96">
        <f t="shared" si="2"/>
        <v>0</v>
      </c>
      <c r="I14" s="96">
        <f t="shared" si="3"/>
        <v>-250200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4235</v>
      </c>
      <c r="B15" s="18">
        <v>300000</v>
      </c>
      <c r="C15" s="18">
        <v>0</v>
      </c>
      <c r="D15" s="117">
        <f t="shared" si="0"/>
        <v>300000</v>
      </c>
      <c r="E15" s="20" t="s">
        <v>3893</v>
      </c>
      <c r="F15" s="96">
        <v>17</v>
      </c>
      <c r="G15" s="96">
        <f t="shared" si="1"/>
        <v>5100000</v>
      </c>
      <c r="H15" s="96">
        <f t="shared" si="2"/>
        <v>0</v>
      </c>
      <c r="I15" s="96">
        <f t="shared" si="3"/>
        <v>5100000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4528</v>
      </c>
      <c r="B16" s="18">
        <v>12000000</v>
      </c>
      <c r="C16" s="18">
        <v>0</v>
      </c>
      <c r="D16" s="113">
        <f t="shared" si="0"/>
        <v>12000000</v>
      </c>
      <c r="E16" s="20" t="s">
        <v>4529</v>
      </c>
      <c r="F16" s="96">
        <v>15</v>
      </c>
      <c r="G16" s="96">
        <f t="shared" si="1"/>
        <v>180000000</v>
      </c>
      <c r="H16" s="96">
        <f t="shared" si="2"/>
        <v>0</v>
      </c>
      <c r="I16" s="96">
        <f t="shared" si="3"/>
        <v>180000000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4530</v>
      </c>
      <c r="B17" s="18">
        <v>3000000</v>
      </c>
      <c r="C17" s="18">
        <v>0</v>
      </c>
      <c r="D17" s="113">
        <f t="shared" si="0"/>
        <v>3000000</v>
      </c>
      <c r="E17" s="20" t="s">
        <v>3893</v>
      </c>
      <c r="F17" s="96">
        <v>14</v>
      </c>
      <c r="G17" s="96">
        <f t="shared" si="1"/>
        <v>42000000</v>
      </c>
      <c r="H17" s="96">
        <f t="shared" si="2"/>
        <v>0</v>
      </c>
      <c r="I17" s="96">
        <f t="shared" si="3"/>
        <v>42000000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4532</v>
      </c>
      <c r="B18" s="18">
        <v>-14000000</v>
      </c>
      <c r="C18" s="18">
        <v>0</v>
      </c>
      <c r="D18" s="113">
        <f t="shared" si="0"/>
        <v>-14000000</v>
      </c>
      <c r="E18" s="20" t="s">
        <v>3772</v>
      </c>
      <c r="F18" s="96">
        <v>14</v>
      </c>
      <c r="G18" s="96">
        <f t="shared" si="1"/>
        <v>-196000000</v>
      </c>
      <c r="H18" s="96">
        <f t="shared" si="2"/>
        <v>0</v>
      </c>
      <c r="I18" s="96">
        <f t="shared" si="3"/>
        <v>-196000000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4534</v>
      </c>
      <c r="B19" s="18">
        <v>-124969</v>
      </c>
      <c r="C19" s="18">
        <v>0</v>
      </c>
      <c r="D19" s="113">
        <f t="shared" si="0"/>
        <v>-124969</v>
      </c>
      <c r="E19" s="20" t="s">
        <v>4017</v>
      </c>
      <c r="F19" s="96">
        <v>13</v>
      </c>
      <c r="G19" s="96">
        <f t="shared" si="1"/>
        <v>-1624597</v>
      </c>
      <c r="H19" s="96">
        <f t="shared" si="2"/>
        <v>0</v>
      </c>
      <c r="I19" s="96">
        <f t="shared" si="3"/>
        <v>-1624597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4534</v>
      </c>
      <c r="B20" s="18">
        <v>0</v>
      </c>
      <c r="C20" s="18">
        <v>-8034286</v>
      </c>
      <c r="D20" s="113">
        <f t="shared" si="0"/>
        <v>8034286</v>
      </c>
      <c r="E20" s="19" t="s">
        <v>4538</v>
      </c>
      <c r="F20" s="96">
        <v>13</v>
      </c>
      <c r="G20" s="96">
        <f t="shared" si="1"/>
        <v>0</v>
      </c>
      <c r="H20" s="96">
        <f t="shared" si="2"/>
        <v>-104445718</v>
      </c>
      <c r="I20" s="96">
        <f t="shared" si="3"/>
        <v>104445718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4534</v>
      </c>
      <c r="B21" s="18">
        <v>-10000</v>
      </c>
      <c r="C21" s="18">
        <v>0</v>
      </c>
      <c r="D21" s="113">
        <f t="shared" si="0"/>
        <v>-10000</v>
      </c>
      <c r="E21" s="19" t="s">
        <v>4539</v>
      </c>
      <c r="F21" s="96">
        <v>13</v>
      </c>
      <c r="G21" s="96">
        <f t="shared" si="1"/>
        <v>-130000</v>
      </c>
      <c r="H21" s="96">
        <f t="shared" si="2"/>
        <v>0</v>
      </c>
      <c r="I21" s="96">
        <f t="shared" si="3"/>
        <v>-130000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4540</v>
      </c>
      <c r="B22" s="18">
        <v>-1313000</v>
      </c>
      <c r="C22" s="18">
        <v>0</v>
      </c>
      <c r="D22" s="113">
        <f t="shared" si="0"/>
        <v>-1313000</v>
      </c>
      <c r="E22" s="19" t="s">
        <v>3772</v>
      </c>
      <c r="F22" s="96">
        <v>12</v>
      </c>
      <c r="G22" s="96">
        <f t="shared" si="1"/>
        <v>-15756000</v>
      </c>
      <c r="H22" s="96">
        <f t="shared" si="2"/>
        <v>0</v>
      </c>
      <c r="I22" s="96">
        <f t="shared" si="3"/>
        <v>-15756000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4558</v>
      </c>
      <c r="B23" s="18">
        <v>2000000</v>
      </c>
      <c r="C23" s="18">
        <v>0</v>
      </c>
      <c r="D23" s="113">
        <f t="shared" si="0"/>
        <v>2000000</v>
      </c>
      <c r="E23" s="19" t="s">
        <v>3893</v>
      </c>
      <c r="F23" s="96">
        <v>8</v>
      </c>
      <c r="G23" s="96">
        <f t="shared" si="1"/>
        <v>16000000</v>
      </c>
      <c r="H23" s="96">
        <f t="shared" si="2"/>
        <v>0</v>
      </c>
      <c r="I23" s="96">
        <f t="shared" si="3"/>
        <v>16000000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4559</v>
      </c>
      <c r="B24" s="18">
        <v>-1900000</v>
      </c>
      <c r="C24" s="18">
        <v>0</v>
      </c>
      <c r="D24" s="113">
        <f t="shared" si="0"/>
        <v>-1900000</v>
      </c>
      <c r="E24" s="19" t="s">
        <v>3772</v>
      </c>
      <c r="F24" s="96">
        <v>7</v>
      </c>
      <c r="G24" s="96">
        <f t="shared" si="1"/>
        <v>-13300000</v>
      </c>
      <c r="H24" s="96">
        <f t="shared" si="2"/>
        <v>0</v>
      </c>
      <c r="I24" s="96">
        <f t="shared" si="3"/>
        <v>-13300000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4559</v>
      </c>
      <c r="B25" s="18">
        <v>-100500</v>
      </c>
      <c r="C25" s="18">
        <v>0</v>
      </c>
      <c r="D25" s="113">
        <f t="shared" si="0"/>
        <v>-100500</v>
      </c>
      <c r="E25" s="19" t="s">
        <v>4563</v>
      </c>
      <c r="F25" s="96">
        <v>7</v>
      </c>
      <c r="G25" s="96">
        <f t="shared" si="1"/>
        <v>-703500</v>
      </c>
      <c r="H25" s="96">
        <f t="shared" si="2"/>
        <v>0</v>
      </c>
      <c r="I25" s="96">
        <f t="shared" si="3"/>
        <v>-703500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9" t="s">
        <v>4559</v>
      </c>
      <c r="B26" s="18">
        <v>-68670</v>
      </c>
      <c r="C26" s="18">
        <v>0</v>
      </c>
      <c r="D26" s="113">
        <f t="shared" si="0"/>
        <v>-68670</v>
      </c>
      <c r="E26" s="19" t="s">
        <v>4569</v>
      </c>
      <c r="F26" s="96">
        <v>7</v>
      </c>
      <c r="G26" s="96">
        <f t="shared" si="1"/>
        <v>-480690</v>
      </c>
      <c r="H26" s="96">
        <f t="shared" si="2"/>
        <v>0</v>
      </c>
      <c r="I26" s="96">
        <f t="shared" si="3"/>
        <v>-480690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9" t="s">
        <v>4565</v>
      </c>
      <c r="B27" s="18">
        <v>-118600</v>
      </c>
      <c r="C27" s="18">
        <v>0</v>
      </c>
      <c r="D27" s="113">
        <f t="shared" si="0"/>
        <v>-118600</v>
      </c>
      <c r="E27" s="19" t="s">
        <v>4572</v>
      </c>
      <c r="F27" s="96">
        <v>6</v>
      </c>
      <c r="G27" s="96">
        <f t="shared" si="1"/>
        <v>-711600</v>
      </c>
      <c r="H27" s="96">
        <f t="shared" si="2"/>
        <v>0</v>
      </c>
      <c r="I27" s="96">
        <f t="shared" si="3"/>
        <v>-711600</v>
      </c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19" t="s">
        <v>4582</v>
      </c>
      <c r="B28" s="18">
        <v>6779000</v>
      </c>
      <c r="C28" s="18">
        <v>0</v>
      </c>
      <c r="D28" s="113">
        <f t="shared" si="0"/>
        <v>6779000</v>
      </c>
      <c r="E28" s="19" t="s">
        <v>3893</v>
      </c>
      <c r="F28" s="96">
        <v>3</v>
      </c>
      <c r="G28" s="96">
        <f t="shared" si="1"/>
        <v>20337000</v>
      </c>
      <c r="H28" s="96">
        <f t="shared" si="2"/>
        <v>0</v>
      </c>
      <c r="I28" s="96">
        <f t="shared" si="3"/>
        <v>20337000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19" t="s">
        <v>4582</v>
      </c>
      <c r="B29" s="18">
        <v>-6400000</v>
      </c>
      <c r="C29" s="18">
        <v>0</v>
      </c>
      <c r="D29" s="113">
        <f t="shared" si="0"/>
        <v>-6400000</v>
      </c>
      <c r="E29" s="19" t="s">
        <v>3772</v>
      </c>
      <c r="F29" s="96">
        <v>3</v>
      </c>
      <c r="G29" s="96">
        <f t="shared" si="1"/>
        <v>-19200000</v>
      </c>
      <c r="H29" s="96">
        <f t="shared" si="2"/>
        <v>0</v>
      </c>
      <c r="I29" s="96">
        <f t="shared" si="3"/>
        <v>-19200000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19" t="s">
        <v>4582</v>
      </c>
      <c r="B30" s="18">
        <v>-389000</v>
      </c>
      <c r="C30" s="18">
        <v>0</v>
      </c>
      <c r="D30" s="113">
        <f t="shared" si="0"/>
        <v>-389000</v>
      </c>
      <c r="E30" s="19" t="s">
        <v>4588</v>
      </c>
      <c r="F30" s="96">
        <v>3</v>
      </c>
      <c r="G30" s="96">
        <f t="shared" si="1"/>
        <v>-1167000</v>
      </c>
      <c r="H30" s="96">
        <f t="shared" si="2"/>
        <v>0</v>
      </c>
      <c r="I30" s="96">
        <f t="shared" si="3"/>
        <v>-1167000</v>
      </c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169" t="s">
        <v>4172</v>
      </c>
      <c r="B31" s="169"/>
      <c r="C31" s="169">
        <v>0</v>
      </c>
      <c r="D31" s="169">
        <f t="shared" si="0"/>
        <v>0</v>
      </c>
      <c r="E31" s="169"/>
      <c r="F31" s="96"/>
      <c r="G31" s="96">
        <f>B31*F31</f>
        <v>0</v>
      </c>
      <c r="H31" s="96">
        <f>C31*F31</f>
        <v>0</v>
      </c>
      <c r="I31" s="96">
        <f>D31*F31</f>
        <v>0</v>
      </c>
      <c r="J31" s="96"/>
      <c r="K31" s="96"/>
      <c r="L31" s="96" t="s">
        <v>25</v>
      </c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169" t="s">
        <v>6</v>
      </c>
      <c r="B32" s="113">
        <f>SUM(B2:B31)</f>
        <v>5755</v>
      </c>
      <c r="C32" s="113">
        <f>SUM(C2:C31)</f>
        <v>0</v>
      </c>
      <c r="D32" s="113">
        <f>SUM(D2:D31)</f>
        <v>5755</v>
      </c>
      <c r="E32" s="169"/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/>
      <c r="G33" s="18">
        <f>SUM(G2:G31)</f>
        <v>29541533</v>
      </c>
      <c r="H33" s="18">
        <f>SUM(H2:H31)</f>
        <v>136582862</v>
      </c>
      <c r="I33" s="18">
        <f>SUM(I2:I31)</f>
        <v>-107041329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 t="s">
        <v>25</v>
      </c>
      <c r="C34" s="96"/>
      <c r="D34" s="96"/>
      <c r="E34" s="96"/>
      <c r="F34" s="96"/>
      <c r="G34" s="96" t="s">
        <v>62</v>
      </c>
      <c r="H34" s="96" t="s">
        <v>36</v>
      </c>
      <c r="I34" s="96" t="s">
        <v>37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96" t="s">
        <v>25</v>
      </c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96"/>
      <c r="E36" s="96"/>
      <c r="F36" s="96" t="s">
        <v>25</v>
      </c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 t="s">
        <v>25</v>
      </c>
      <c r="D37" s="41"/>
      <c r="E37" s="41" t="s">
        <v>85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0</v>
      </c>
      <c r="E38" s="41" t="s">
        <v>4496</v>
      </c>
      <c r="F38" s="96"/>
      <c r="G38" s="18">
        <v>600</v>
      </c>
      <c r="H38" s="18">
        <f>G38*H33/G33</f>
        <v>2774.0509336465375</v>
      </c>
      <c r="I38" s="18">
        <f>G38*I33/G33</f>
        <v>-2174.0509336465375</v>
      </c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 ht="30">
      <c r="A39" s="96"/>
      <c r="B39" s="96"/>
      <c r="C39" s="96"/>
      <c r="D39" s="114">
        <v>1000000</v>
      </c>
      <c r="E39" s="54" t="s">
        <v>4500</v>
      </c>
      <c r="F39" s="96"/>
      <c r="G39" s="9" t="s">
        <v>1037</v>
      </c>
      <c r="H39" s="9" t="s">
        <v>38</v>
      </c>
      <c r="I39" s="9" t="s">
        <v>39</v>
      </c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114"/>
      <c r="C40" s="96"/>
      <c r="D40" s="114">
        <v>189200</v>
      </c>
      <c r="E40" s="54" t="s">
        <v>4502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40000</v>
      </c>
      <c r="E41" s="54" t="s">
        <v>4501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-490000</v>
      </c>
      <c r="E42" s="54" t="s">
        <v>4505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-597051</v>
      </c>
      <c r="E43" s="54" t="s">
        <v>4520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13900</v>
      </c>
      <c r="E44" s="54" t="s">
        <v>4521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2000000</v>
      </c>
      <c r="E45" s="54" t="s">
        <v>4522</v>
      </c>
      <c r="F45" s="96"/>
      <c r="G45" s="96" t="s">
        <v>25</v>
      </c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-300000</v>
      </c>
      <c r="E46" s="54" t="s">
        <v>4523</v>
      </c>
      <c r="F46" s="96"/>
      <c r="G46" s="96" t="s">
        <v>25</v>
      </c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 ht="30">
      <c r="A47" s="96"/>
      <c r="B47" s="96"/>
      <c r="C47" s="96"/>
      <c r="D47" s="114">
        <v>300000</v>
      </c>
      <c r="E47" s="54" t="s">
        <v>4531</v>
      </c>
      <c r="F47" s="96" t="s">
        <v>25</v>
      </c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124969</v>
      </c>
      <c r="E48" s="54" t="s">
        <v>4017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12661</v>
      </c>
      <c r="E49" s="54" t="s">
        <v>4546</v>
      </c>
      <c r="F49" s="96"/>
      <c r="G49" s="96"/>
      <c r="H49" s="96" t="s">
        <v>25</v>
      </c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-55000</v>
      </c>
      <c r="E50" s="54" t="s">
        <v>4553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100500</v>
      </c>
      <c r="E51" s="54" t="s">
        <v>4563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68670</v>
      </c>
      <c r="E52" s="54" t="s">
        <v>4570</v>
      </c>
      <c r="F52" s="114" t="s">
        <v>25</v>
      </c>
      <c r="G52" s="41" t="s">
        <v>25</v>
      </c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111500</v>
      </c>
      <c r="E53" s="54" t="s">
        <v>61</v>
      </c>
      <c r="F53" s="114"/>
      <c r="G53" s="41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 ht="30">
      <c r="A54" s="96"/>
      <c r="B54" s="96"/>
      <c r="C54" s="96"/>
      <c r="D54" s="114">
        <v>1000</v>
      </c>
      <c r="E54" s="54" t="s">
        <v>4583</v>
      </c>
      <c r="F54" s="114"/>
      <c r="G54" s="41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389000</v>
      </c>
      <c r="E55" s="54" t="s">
        <v>4039</v>
      </c>
      <c r="F55" s="114"/>
      <c r="G55" s="41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96"/>
      <c r="E56" s="54" t="s">
        <v>25</v>
      </c>
      <c r="F56" s="96"/>
      <c r="G56" s="96"/>
      <c r="H56" s="96" t="s">
        <v>25</v>
      </c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f>SUM(D38:D56)</f>
        <v>2909349</v>
      </c>
      <c r="E57" s="96" t="s">
        <v>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/>
      <c r="E58" s="41" t="s">
        <v>25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96"/>
      <c r="E59" s="96" t="s">
        <v>25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96"/>
      <c r="E60" s="96" t="s">
        <v>25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96"/>
      <c r="E62" s="96" t="s">
        <v>25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96"/>
      <c r="E63" s="96" t="s">
        <v>25</v>
      </c>
      <c r="F63" s="96"/>
      <c r="G63" s="96" t="s">
        <v>25</v>
      </c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F65" s="96"/>
      <c r="G65" s="96"/>
      <c r="H65" s="96" t="s">
        <v>25</v>
      </c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F69" s="96"/>
      <c r="G69" s="96"/>
      <c r="H69" s="96" t="s">
        <v>25</v>
      </c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F73" s="114"/>
      <c r="G73" s="54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F74" s="114"/>
      <c r="G74" s="54" t="s">
        <v>25</v>
      </c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F75" s="114"/>
      <c r="G75" s="54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F76" s="114"/>
      <c r="G76" s="54" t="s">
        <v>25</v>
      </c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 t="s">
        <v>25</v>
      </c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  <row r="89" spans="1:20">
      <c r="A89" s="96"/>
      <c r="B89" s="96"/>
      <c r="C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</row>
    <row r="90" spans="1:20">
      <c r="A90" s="96"/>
      <c r="B90" s="96"/>
      <c r="C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</row>
    <row r="91" spans="1:20">
      <c r="A91" s="96"/>
      <c r="B91" s="96"/>
      <c r="C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</row>
    <row r="92" spans="1:20">
      <c r="A92" s="96"/>
      <c r="B92" s="96"/>
      <c r="C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</row>
    <row r="93" spans="1:20">
      <c r="A93" s="96"/>
      <c r="B93" s="96"/>
      <c r="C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</row>
    <row r="94" spans="1:20">
      <c r="A94" s="96"/>
      <c r="B94" s="96"/>
      <c r="C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</row>
    <row r="95" spans="1:20">
      <c r="A95" s="96"/>
      <c r="B95" s="96"/>
      <c r="C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</row>
    <row r="96" spans="1:20">
      <c r="A96" s="96"/>
      <c r="B96" s="96"/>
      <c r="C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</row>
    <row r="97" spans="1:20">
      <c r="A97" s="96"/>
      <c r="B97" s="96"/>
      <c r="C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</row>
    <row r="98" spans="1:20">
      <c r="A98" s="96"/>
      <c r="B98" s="96"/>
      <c r="C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</row>
    <row r="99" spans="1:20">
      <c r="A99" s="96"/>
      <c r="B99" s="96"/>
      <c r="C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</row>
    <row r="100" spans="1:20">
      <c r="A100" s="96"/>
      <c r="B100" s="96"/>
      <c r="C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</row>
    <row r="101" spans="1:20">
      <c r="A101" s="96"/>
      <c r="B101" s="96"/>
      <c r="C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</row>
    <row r="102" spans="1:20">
      <c r="A102" s="96"/>
      <c r="B102" s="96"/>
      <c r="C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</row>
    <row r="103" spans="1:20">
      <c r="A103" s="96"/>
      <c r="B103" s="96"/>
      <c r="C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</row>
    <row r="104" spans="1:20">
      <c r="A104" s="96"/>
      <c r="B104" s="96"/>
      <c r="C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</row>
    <row r="105" spans="1:20">
      <c r="A105" s="96"/>
      <c r="B105" s="96"/>
      <c r="C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</row>
    <row r="106" spans="1:20">
      <c r="A106" s="96"/>
      <c r="B106" s="96"/>
      <c r="C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</row>
    <row r="107" spans="1:20">
      <c r="A107" s="96"/>
      <c r="B107" s="96"/>
      <c r="C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</row>
    <row r="108" spans="1:20">
      <c r="A108" s="96"/>
      <c r="B108" s="96"/>
      <c r="C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</row>
    <row r="109" spans="1:20">
      <c r="A109" s="96"/>
      <c r="B109" s="96"/>
      <c r="C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</row>
    <row r="110" spans="1:20">
      <c r="A110" s="96"/>
      <c r="B110" s="96"/>
      <c r="C110" s="96"/>
      <c r="F110" s="96"/>
      <c r="G110" s="96" t="s">
        <v>25</v>
      </c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</row>
    <row r="111" spans="1:20">
      <c r="A111" s="96"/>
      <c r="B111" s="96"/>
      <c r="C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</row>
    <row r="112" spans="1:20">
      <c r="A112" s="96"/>
      <c r="B112" s="96"/>
      <c r="C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</row>
    <row r="113" spans="1:20">
      <c r="A113" s="96"/>
      <c r="B113" s="96"/>
      <c r="C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</row>
    <row r="114" spans="1:20">
      <c r="A114" s="96"/>
      <c r="B114" s="96"/>
      <c r="C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</row>
    <row r="115" spans="1:20">
      <c r="A115" s="96"/>
      <c r="B115" s="96"/>
      <c r="C115" s="96"/>
      <c r="F115" s="96"/>
      <c r="G115" s="96"/>
      <c r="H115" s="96"/>
      <c r="I115" s="96"/>
    </row>
    <row r="116" spans="1:20">
      <c r="A116" s="96"/>
      <c r="B116" s="96"/>
      <c r="C116" s="96"/>
      <c r="F116" s="96"/>
      <c r="G116" s="96"/>
      <c r="H116" s="96"/>
      <c r="I116" s="96"/>
    </row>
    <row r="117" spans="1:20">
      <c r="A117" s="96"/>
      <c r="B117" s="96"/>
      <c r="C117" s="96"/>
      <c r="F117" s="96"/>
      <c r="G117" s="96"/>
      <c r="H117" s="96"/>
      <c r="I117" s="96"/>
    </row>
    <row r="118" spans="1:20">
      <c r="A118" s="96"/>
      <c r="B118" s="96"/>
      <c r="C118" s="96"/>
      <c r="F118" s="96"/>
      <c r="G118" s="96"/>
      <c r="H118" s="96"/>
      <c r="I118" s="96"/>
    </row>
    <row r="119" spans="1:20">
      <c r="A119" s="96"/>
      <c r="B119" s="96"/>
      <c r="C119" s="96"/>
      <c r="F119" s="96"/>
      <c r="G119" s="96"/>
      <c r="H119" s="96"/>
      <c r="I119" s="96"/>
    </row>
  </sheetData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939</v>
      </c>
      <c r="B1" s="11" t="s">
        <v>936</v>
      </c>
      <c r="C1" s="11" t="s">
        <v>937</v>
      </c>
      <c r="D1" s="11" t="s">
        <v>948</v>
      </c>
      <c r="E1" s="11" t="s">
        <v>950</v>
      </c>
      <c r="F1" s="11" t="s">
        <v>940</v>
      </c>
      <c r="G1" s="11" t="s">
        <v>183</v>
      </c>
      <c r="H1" s="11" t="s">
        <v>955</v>
      </c>
      <c r="I1" s="11" t="s">
        <v>945</v>
      </c>
      <c r="J1" s="11" t="s">
        <v>951</v>
      </c>
      <c r="K1" s="11" t="s">
        <v>952</v>
      </c>
      <c r="L1" s="11" t="s">
        <v>946</v>
      </c>
      <c r="M1" s="11" t="s">
        <v>953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1014</v>
      </c>
      <c r="S1" s="99" t="s">
        <v>38</v>
      </c>
      <c r="T1" s="11" t="s">
        <v>956</v>
      </c>
      <c r="U1" s="74" t="s">
        <v>1031</v>
      </c>
      <c r="AE1" s="11" t="s">
        <v>955</v>
      </c>
      <c r="AF1" s="25"/>
    </row>
    <row r="2" spans="1:38">
      <c r="A2" s="75" t="s">
        <v>928</v>
      </c>
      <c r="B2" s="75" t="s">
        <v>947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947</v>
      </c>
      <c r="C3" s="75">
        <v>400</v>
      </c>
      <c r="D3" s="75" t="s">
        <v>949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942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943</v>
      </c>
      <c r="AF3" s="107" t="s">
        <v>1020</v>
      </c>
      <c r="AG3" s="107" t="s">
        <v>1021</v>
      </c>
      <c r="AH3" s="107" t="s">
        <v>1122</v>
      </c>
      <c r="AI3" s="107" t="s">
        <v>1022</v>
      </c>
      <c r="AJ3" s="107" t="s">
        <v>1023</v>
      </c>
      <c r="AK3" s="107" t="s">
        <v>1123</v>
      </c>
      <c r="AL3" s="107" t="s">
        <v>944</v>
      </c>
    </row>
    <row r="4" spans="1:38">
      <c r="A4" s="78" t="s">
        <v>928</v>
      </c>
      <c r="B4" s="78" t="s">
        <v>938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3710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1017</v>
      </c>
      <c r="B5" s="78" t="s">
        <v>938</v>
      </c>
      <c r="C5" s="78">
        <v>3</v>
      </c>
      <c r="D5" s="78" t="s">
        <v>949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938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1028</v>
      </c>
      <c r="B7" s="75" t="s">
        <v>938</v>
      </c>
      <c r="C7" s="75">
        <v>497</v>
      </c>
      <c r="D7" s="75" t="s">
        <v>949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935</v>
      </c>
      <c r="B8" s="78" t="s">
        <v>954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934</v>
      </c>
      <c r="B9" s="78" t="s">
        <v>954</v>
      </c>
      <c r="C9" s="78">
        <v>300</v>
      </c>
      <c r="D9" s="78" t="s">
        <v>949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935</v>
      </c>
      <c r="B10" s="75" t="s">
        <v>954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1028</v>
      </c>
      <c r="B11" s="75" t="s">
        <v>954</v>
      </c>
      <c r="C11" s="75">
        <v>100</v>
      </c>
      <c r="D11" s="75" t="s">
        <v>949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934</v>
      </c>
      <c r="B12" s="78" t="s">
        <v>1007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934</v>
      </c>
      <c r="B13" s="78" t="s">
        <v>1007</v>
      </c>
      <c r="C13" s="78">
        <v>200</v>
      </c>
      <c r="D13" s="78" t="s">
        <v>949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934</v>
      </c>
      <c r="B14" s="75" t="s">
        <v>964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1087</v>
      </c>
      <c r="AE14" s="96"/>
      <c r="AF14" s="96"/>
      <c r="AG14" s="96"/>
      <c r="AI14" s="96"/>
      <c r="AJ14" s="96"/>
      <c r="AL14" s="96"/>
    </row>
    <row r="15" spans="1:38">
      <c r="A15" s="75" t="s">
        <v>934</v>
      </c>
      <c r="B15" s="75" t="s">
        <v>964</v>
      </c>
      <c r="C15" s="75">
        <v>200</v>
      </c>
      <c r="D15" s="75" t="s">
        <v>949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1024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934</v>
      </c>
      <c r="B16" s="78" t="s">
        <v>947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1025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1028</v>
      </c>
      <c r="B17" s="78" t="s">
        <v>947</v>
      </c>
      <c r="C17" s="78">
        <v>100</v>
      </c>
      <c r="D17" s="78" t="s">
        <v>949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934</v>
      </c>
      <c r="B18" s="75" t="s">
        <v>947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1055</v>
      </c>
      <c r="AB18" s="96">
        <v>8</v>
      </c>
      <c r="AD18" s="96"/>
      <c r="AE18" s="96"/>
      <c r="AF18" s="96"/>
      <c r="AG18" s="96"/>
    </row>
    <row r="19" spans="1:33">
      <c r="A19" s="75" t="s">
        <v>1028</v>
      </c>
      <c r="B19" s="75" t="s">
        <v>947</v>
      </c>
      <c r="C19" s="75">
        <v>100</v>
      </c>
      <c r="D19" s="75" t="s">
        <v>949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1056</v>
      </c>
      <c r="AB19" s="96">
        <v>70</v>
      </c>
      <c r="AD19" s="96"/>
      <c r="AE19" s="96"/>
      <c r="AF19" s="96"/>
      <c r="AG19" s="96"/>
    </row>
    <row r="20" spans="1:33">
      <c r="A20" s="78" t="s">
        <v>934</v>
      </c>
      <c r="B20" s="78" t="s">
        <v>947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1028</v>
      </c>
      <c r="B21" s="78" t="s">
        <v>947</v>
      </c>
      <c r="C21" s="78">
        <v>200</v>
      </c>
      <c r="D21" s="78" t="s">
        <v>949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934</v>
      </c>
      <c r="B22" s="75" t="s">
        <v>960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957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1028</v>
      </c>
      <c r="B23" s="75" t="s">
        <v>960</v>
      </c>
      <c r="C23" s="75">
        <v>100</v>
      </c>
      <c r="D23" s="75" t="s">
        <v>949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958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934</v>
      </c>
      <c r="B24" s="78" t="s">
        <v>947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1028</v>
      </c>
      <c r="B25" s="78" t="s">
        <v>947</v>
      </c>
      <c r="C25" s="78">
        <v>300</v>
      </c>
      <c r="D25" s="78" t="s">
        <v>949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934</v>
      </c>
      <c r="B26" s="75" t="s">
        <v>960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1028</v>
      </c>
      <c r="B27" s="75" t="s">
        <v>960</v>
      </c>
      <c r="C27" s="75">
        <v>200</v>
      </c>
      <c r="D27" s="75" t="s">
        <v>949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934</v>
      </c>
      <c r="B28" s="87" t="s">
        <v>960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1065</v>
      </c>
      <c r="B29" s="87" t="s">
        <v>960</v>
      </c>
      <c r="C29" s="87">
        <v>100</v>
      </c>
      <c r="D29" s="87" t="s">
        <v>949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1017</v>
      </c>
      <c r="B30" s="78" t="s">
        <v>1007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1017</v>
      </c>
      <c r="B31" s="78" t="s">
        <v>1007</v>
      </c>
      <c r="C31" s="78">
        <v>143</v>
      </c>
      <c r="D31" s="78" t="s">
        <v>949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1017</v>
      </c>
      <c r="B32" s="75" t="s">
        <v>938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1017</v>
      </c>
      <c r="B33" s="75" t="s">
        <v>938</v>
      </c>
      <c r="C33" s="75">
        <v>500</v>
      </c>
      <c r="D33" s="75" t="s">
        <v>949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1017</v>
      </c>
      <c r="B34" s="78" t="s">
        <v>1007</v>
      </c>
      <c r="C34" s="78">
        <v>140</v>
      </c>
      <c r="D34" s="78" t="s">
        <v>1019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953</v>
      </c>
      <c r="Z34" s="97">
        <f>Z32-AL12</f>
        <v>0</v>
      </c>
    </row>
    <row r="35" spans="1:26">
      <c r="A35" s="78" t="s">
        <v>1017</v>
      </c>
      <c r="B35" s="78" t="s">
        <v>1007</v>
      </c>
      <c r="C35" s="78">
        <v>140</v>
      </c>
      <c r="D35" s="78" t="s">
        <v>949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1028</v>
      </c>
      <c r="B36" s="75" t="s">
        <v>954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1028</v>
      </c>
      <c r="B37" s="75" t="s">
        <v>954</v>
      </c>
      <c r="C37" s="75">
        <v>100</v>
      </c>
      <c r="D37" s="75" t="s">
        <v>949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1028</v>
      </c>
      <c r="B38" s="78" t="s">
        <v>961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1028</v>
      </c>
      <c r="B39" s="78" t="s">
        <v>961</v>
      </c>
      <c r="C39" s="78">
        <v>500</v>
      </c>
      <c r="D39" s="78" t="s">
        <v>949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1028</v>
      </c>
      <c r="B40" s="75" t="s">
        <v>938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1065</v>
      </c>
      <c r="B41" s="75" t="s">
        <v>938</v>
      </c>
      <c r="C41" s="75">
        <v>8</v>
      </c>
      <c r="D41" s="75" t="s">
        <v>949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1028</v>
      </c>
      <c r="B42" s="78" t="s">
        <v>964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1066</v>
      </c>
      <c r="B43" s="78" t="s">
        <v>964</v>
      </c>
      <c r="C43" s="78">
        <v>1900</v>
      </c>
      <c r="D43" s="78" t="s">
        <v>949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1110</v>
      </c>
      <c r="B44" s="118" t="s">
        <v>1125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1126</v>
      </c>
      <c r="U44" s="76"/>
    </row>
    <row r="45" spans="1:26">
      <c r="A45" s="118" t="s">
        <v>1110</v>
      </c>
      <c r="B45" s="118" t="s">
        <v>1127</v>
      </c>
      <c r="C45" s="118">
        <v>100</v>
      </c>
      <c r="D45" s="118" t="s">
        <v>949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1110</v>
      </c>
      <c r="B46" s="121" t="s">
        <v>938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949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3710</v>
      </c>
      <c r="B48" s="118" t="s">
        <v>954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949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3710</v>
      </c>
      <c r="B60" s="16" t="s">
        <v>938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3758</v>
      </c>
      <c r="B62" s="82" t="s">
        <v>1086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1015</v>
      </c>
      <c r="R71" s="11" t="s">
        <v>1016</v>
      </c>
      <c r="S71" s="99" t="s">
        <v>1124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949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949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949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949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949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3" zoomScaleNormal="100" workbookViewId="0">
      <pane xSplit="1" topLeftCell="B1" activePane="topRight" state="frozen"/>
      <selection pane="topRight" activeCell="AD20" sqref="AD20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959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1051</v>
      </c>
      <c r="M1" s="11" t="s">
        <v>968</v>
      </c>
      <c r="N1" s="11" t="s">
        <v>1041</v>
      </c>
      <c r="O1" s="11" t="s">
        <v>970</v>
      </c>
      <c r="P1" s="11" t="s">
        <v>1047</v>
      </c>
      <c r="Q1" s="11" t="s">
        <v>971</v>
      </c>
      <c r="R1" s="11" t="s">
        <v>1000</v>
      </c>
      <c r="S1" s="11" t="s">
        <v>982</v>
      </c>
      <c r="T1" s="11" t="s">
        <v>941</v>
      </c>
      <c r="U1" s="69" t="s">
        <v>1046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955</v>
      </c>
      <c r="AD1" t="s">
        <v>1005</v>
      </c>
      <c r="AE1" t="s">
        <v>1006</v>
      </c>
      <c r="AI1">
        <v>0.51500000000000001</v>
      </c>
      <c r="AJ1" t="s">
        <v>1032</v>
      </c>
      <c r="AL1" t="s">
        <v>1042</v>
      </c>
      <c r="AM1" t="s">
        <v>1043</v>
      </c>
    </row>
    <row r="2" spans="1:39" ht="19.5" customHeight="1">
      <c r="A2" s="146" t="s">
        <v>965</v>
      </c>
      <c r="B2" s="86">
        <f>$S2/(1+($B$1-$O2+$P2)/36500)^$N2</f>
        <v>79068.85842186345</v>
      </c>
      <c r="C2" s="86">
        <f t="shared" ref="C2:C20" si="0">$S2/(1+($C$1-$O2+$P2)/36500)^$N2</f>
        <v>82095.603807312829</v>
      </c>
      <c r="D2" s="86">
        <f>$S2/(1+($D$1-$O2+$P2)/36500)^$N2</f>
        <v>82482.028127861122</v>
      </c>
      <c r="E2" s="86">
        <f>$S2/(1+($E$1-$O2+$P2)/36500)^$N2</f>
        <v>82870.276677098853</v>
      </c>
      <c r="F2" s="86">
        <f>$S2/(1+($F$1-$O2+$P2)/36500)^$N2</f>
        <v>83260.358091991075</v>
      </c>
      <c r="G2" s="86">
        <f>$S2/(1+($G$1-$O2+$P2)/36500)^$N2</f>
        <v>83652.281050495862</v>
      </c>
      <c r="H2" s="86">
        <f>$S2/(1+($H$1-$O2+$P2)/36500)^$N2</f>
        <v>84046.054271796573</v>
      </c>
      <c r="I2" s="86">
        <f>$S2/(1+($I$1-$O2+$P2)/36500)^$N2</f>
        <v>84441.686516464833</v>
      </c>
      <c r="J2" s="86">
        <f>$S2/(1+($J$1-$O2+$P2)/36500)^$N2</f>
        <v>84839.186586678727</v>
      </c>
      <c r="K2" s="86">
        <f>$S2/(1+($K$1-$O2+$P2)/36500)^$N2</f>
        <v>85238.56332642585</v>
      </c>
      <c r="L2" s="86">
        <f t="shared" ref="L2:L38" si="1">$S2/(1+($AC$5-$O2+$P2)/36500)^$N2</f>
        <v>82870.276677098853</v>
      </c>
      <c r="M2" s="146" t="s">
        <v>991</v>
      </c>
      <c r="N2" s="146">
        <f>601-$AD$19</f>
        <v>343</v>
      </c>
      <c r="O2" s="146">
        <v>0</v>
      </c>
      <c r="P2" s="146">
        <v>0</v>
      </c>
      <c r="Q2" s="146">
        <v>0</v>
      </c>
      <c r="R2" s="146">
        <f t="shared" ref="R2:R38" si="2">N2/30.5</f>
        <v>11.245901639344263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1033</v>
      </c>
    </row>
    <row r="3" spans="1:39" ht="18" customHeight="1">
      <c r="A3" s="187" t="s">
        <v>4225</v>
      </c>
      <c r="B3" s="188">
        <f>$S3/(1+($B$1-$O3+$P3)/36500)^$N3</f>
        <v>99046.003825865118</v>
      </c>
      <c r="C3" s="188">
        <f t="shared" si="0"/>
        <v>99197.985607816503</v>
      </c>
      <c r="D3" s="188">
        <f t="shared" ref="D3:D38" si="5">$S3/(1+($D$1-$O3+$P3)/36500)^$N3</f>
        <v>99217.000892295604</v>
      </c>
      <c r="E3" s="188">
        <f t="shared" ref="E3:E38" si="6">$S3/(1+($E$1-$O3+$P3)/36500)^$N3</f>
        <v>99236.020082232528</v>
      </c>
      <c r="F3" s="188">
        <f t="shared" ref="F3:F38" si="7">$S3/(1+($F$1-$O3+$P3)/36500)^$N3</f>
        <v>99255.043178483247</v>
      </c>
      <c r="G3" s="188">
        <f t="shared" ref="G3:G38" si="8">$S3/(1+($G$1-$O3+$P3)/36500)^$N3</f>
        <v>99274.070181903095</v>
      </c>
      <c r="H3" s="188">
        <f t="shared" ref="H3:H38" si="9">$S3/(1+($H$1-$O3+$P3)/36500)^$N3</f>
        <v>99293.101093348567</v>
      </c>
      <c r="I3" s="188">
        <f t="shared" ref="I3:I38" si="10">$S3/(1+($I$1-$O3+$P3)/36500)^$N3</f>
        <v>99312.13591367552</v>
      </c>
      <c r="J3" s="188">
        <f t="shared" ref="J3:J38" si="11">$S3/(1+($J$1-$O3+$P3)/36500)^$N3</f>
        <v>99331.174643740407</v>
      </c>
      <c r="K3" s="188">
        <f t="shared" ref="K3:K38" si="12">$S3/(1+($K$1-$O3+$P3)/36500)^$N3</f>
        <v>99350.21728440038</v>
      </c>
      <c r="L3" s="188">
        <f t="shared" si="1"/>
        <v>99236.020082232528</v>
      </c>
      <c r="M3" s="187" t="s">
        <v>4234</v>
      </c>
      <c r="N3" s="187">
        <f>272-$AD$19</f>
        <v>14</v>
      </c>
      <c r="O3" s="187">
        <v>0</v>
      </c>
      <c r="P3" s="187">
        <v>0</v>
      </c>
      <c r="Q3" s="187">
        <v>0</v>
      </c>
      <c r="R3" s="187"/>
      <c r="S3" s="188">
        <v>100000</v>
      </c>
      <c r="T3" s="188"/>
      <c r="U3" s="188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966</v>
      </c>
      <c r="B4" s="88">
        <f t="shared" ref="B4:B38" si="14">$S4/(1+($B$1-$O4+$P4)/36500)^$N4</f>
        <v>80599.3524827972</v>
      </c>
      <c r="C4" s="88">
        <f t="shared" si="0"/>
        <v>83428.453877742548</v>
      </c>
      <c r="D4" s="88">
        <f t="shared" si="5"/>
        <v>83789.025774910406</v>
      </c>
      <c r="E4" s="88">
        <f t="shared" si="6"/>
        <v>84151.161007035116</v>
      </c>
      <c r="F4" s="88">
        <f t="shared" si="7"/>
        <v>84514.86637383404</v>
      </c>
      <c r="G4" s="88">
        <f t="shared" si="8"/>
        <v>84880.148704676365</v>
      </c>
      <c r="H4" s="88">
        <f t="shared" si="9"/>
        <v>85247.014858747309</v>
      </c>
      <c r="I4" s="88">
        <f t="shared" si="10"/>
        <v>85615.471725147727</v>
      </c>
      <c r="J4" s="88">
        <f t="shared" si="11"/>
        <v>85985.526223044595</v>
      </c>
      <c r="K4" s="88">
        <f t="shared" si="12"/>
        <v>86357.185301807083</v>
      </c>
      <c r="L4" s="88">
        <f t="shared" si="1"/>
        <v>84151.161007035116</v>
      </c>
      <c r="M4" s="87" t="s">
        <v>992</v>
      </c>
      <c r="N4" s="87">
        <f>573-$AD$19</f>
        <v>315</v>
      </c>
      <c r="O4" s="87">
        <v>0</v>
      </c>
      <c r="P4" s="87">
        <v>0</v>
      </c>
      <c r="Q4" s="87">
        <v>0</v>
      </c>
      <c r="R4" s="87">
        <f t="shared" si="2"/>
        <v>10.327868852459016</v>
      </c>
      <c r="S4" s="88">
        <v>100000</v>
      </c>
      <c r="T4" s="88">
        <v>73600</v>
      </c>
      <c r="U4" s="88">
        <f t="shared" si="3"/>
        <v>100000.00000000001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967</v>
      </c>
      <c r="B5" s="57">
        <f t="shared" si="14"/>
        <v>98101.108738732859</v>
      </c>
      <c r="C5" s="57">
        <f t="shared" si="0"/>
        <v>98402.403486485666</v>
      </c>
      <c r="D5" s="57">
        <f t="shared" si="5"/>
        <v>98440.132660617877</v>
      </c>
      <c r="E5" s="57">
        <f t="shared" si="6"/>
        <v>98477.876817612574</v>
      </c>
      <c r="F5" s="57">
        <f t="shared" si="7"/>
        <v>98515.63596362574</v>
      </c>
      <c r="G5" s="57">
        <f t="shared" si="8"/>
        <v>98553.410104814233</v>
      </c>
      <c r="H5" s="57">
        <f t="shared" si="9"/>
        <v>98591.199247339377</v>
      </c>
      <c r="I5" s="57">
        <f t="shared" si="10"/>
        <v>98629.003397363587</v>
      </c>
      <c r="J5" s="57">
        <f t="shared" si="11"/>
        <v>98666.822561052541</v>
      </c>
      <c r="K5" s="57">
        <f t="shared" si="12"/>
        <v>98704.656744575681</v>
      </c>
      <c r="L5" s="57">
        <f t="shared" si="1"/>
        <v>98477.876817612574</v>
      </c>
      <c r="M5" s="12" t="s">
        <v>994</v>
      </c>
      <c r="N5" s="12">
        <f>286-$AD$19</f>
        <v>28</v>
      </c>
      <c r="O5" s="12">
        <v>0</v>
      </c>
      <c r="P5" s="12">
        <v>0</v>
      </c>
      <c r="Q5" s="12">
        <v>0</v>
      </c>
      <c r="R5" s="12">
        <f t="shared" si="2"/>
        <v>0.91803278688524592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949</v>
      </c>
      <c r="AC5">
        <v>20</v>
      </c>
    </row>
    <row r="6" spans="1:39" ht="21.75" customHeight="1">
      <c r="A6" s="146" t="s">
        <v>983</v>
      </c>
      <c r="B6" s="86">
        <f>$S6/(1+($B$1-$O6+$P6)/36500)^$N6</f>
        <v>86547.994414879649</v>
      </c>
      <c r="C6" s="86">
        <f t="shared" si="0"/>
        <v>88571.296231699031</v>
      </c>
      <c r="D6" s="86">
        <f t="shared" si="5"/>
        <v>88827.528140362279</v>
      </c>
      <c r="E6" s="86">
        <f t="shared" si="6"/>
        <v>89084.5048372124</v>
      </c>
      <c r="F6" s="86">
        <f t="shared" si="7"/>
        <v>89342.228497369317</v>
      </c>
      <c r="G6" s="86">
        <f t="shared" si="8"/>
        <v>89600.701302322937</v>
      </c>
      <c r="H6" s="86">
        <f t="shared" si="9"/>
        <v>89859.925439976432</v>
      </c>
      <c r="I6" s="86">
        <f t="shared" si="10"/>
        <v>90119.903104643236</v>
      </c>
      <c r="J6" s="86">
        <f t="shared" si="11"/>
        <v>90380.636497079715</v>
      </c>
      <c r="K6" s="86">
        <f t="shared" si="12"/>
        <v>90642.12782450729</v>
      </c>
      <c r="L6" s="86">
        <f t="shared" si="1"/>
        <v>89084.5048372124</v>
      </c>
      <c r="M6" s="146" t="s">
        <v>993</v>
      </c>
      <c r="N6" s="146">
        <f>469-$AD$19</f>
        <v>211</v>
      </c>
      <c r="O6" s="146">
        <v>0</v>
      </c>
      <c r="P6" s="146">
        <v>0</v>
      </c>
      <c r="Q6" s="146">
        <v>0</v>
      </c>
      <c r="R6" s="146">
        <f t="shared" si="2"/>
        <v>6.918032786885246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7" t="s">
        <v>984</v>
      </c>
      <c r="B7" s="188">
        <f t="shared" si="14"/>
        <v>86547.994414879649</v>
      </c>
      <c r="C7" s="188">
        <f t="shared" si="0"/>
        <v>88571.296231699031</v>
      </c>
      <c r="D7" s="188">
        <f t="shared" si="5"/>
        <v>88827.528140362279</v>
      </c>
      <c r="E7" s="188">
        <f t="shared" si="6"/>
        <v>89084.5048372124</v>
      </c>
      <c r="F7" s="188">
        <f t="shared" si="7"/>
        <v>89342.228497369317</v>
      </c>
      <c r="G7" s="188">
        <f t="shared" si="8"/>
        <v>89600.701302322937</v>
      </c>
      <c r="H7" s="188">
        <f t="shared" si="9"/>
        <v>89859.925439976432</v>
      </c>
      <c r="I7" s="188">
        <f t="shared" si="10"/>
        <v>90119.903104643236</v>
      </c>
      <c r="J7" s="188">
        <f t="shared" si="11"/>
        <v>90380.636497079715</v>
      </c>
      <c r="K7" s="188">
        <f t="shared" si="12"/>
        <v>90642.12782450729</v>
      </c>
      <c r="L7" s="188">
        <f t="shared" si="1"/>
        <v>89084.5048372124</v>
      </c>
      <c r="M7" s="187" t="s">
        <v>993</v>
      </c>
      <c r="N7" s="187">
        <f>469-$AD$19</f>
        <v>211</v>
      </c>
      <c r="O7" s="187">
        <v>0</v>
      </c>
      <c r="P7" s="187">
        <v>0</v>
      </c>
      <c r="Q7" s="187">
        <v>0</v>
      </c>
      <c r="R7" s="187">
        <f t="shared" si="2"/>
        <v>6.918032786885246</v>
      </c>
      <c r="S7" s="188">
        <v>100000</v>
      </c>
      <c r="T7" s="188">
        <v>77700</v>
      </c>
      <c r="U7" s="188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985</v>
      </c>
      <c r="B8" s="88">
        <f t="shared" si="14"/>
        <v>77940.090448643386</v>
      </c>
      <c r="C8" s="88">
        <f t="shared" si="0"/>
        <v>81109.958854781042</v>
      </c>
      <c r="D8" s="88">
        <f t="shared" si="5"/>
        <v>81515.1766200563</v>
      </c>
      <c r="E8" s="88">
        <f t="shared" si="6"/>
        <v>81922.424404838806</v>
      </c>
      <c r="F8" s="88">
        <f t="shared" si="7"/>
        <v>82331.712406929291</v>
      </c>
      <c r="G8" s="88">
        <f t="shared" si="8"/>
        <v>82743.050875478133</v>
      </c>
      <c r="H8" s="88">
        <f t="shared" si="9"/>
        <v>83156.450111284095</v>
      </c>
      <c r="I8" s="88">
        <f t="shared" si="10"/>
        <v>83571.920467019809</v>
      </c>
      <c r="J8" s="88">
        <f t="shared" si="11"/>
        <v>83989.472347516115</v>
      </c>
      <c r="K8" s="88">
        <f t="shared" si="12"/>
        <v>84409.116210030712</v>
      </c>
      <c r="L8" s="88">
        <f t="shared" si="1"/>
        <v>81922.424404838806</v>
      </c>
      <c r="M8" s="87" t="s">
        <v>997</v>
      </c>
      <c r="N8" s="87">
        <f>622-$AD$19</f>
        <v>364</v>
      </c>
      <c r="O8" s="87">
        <v>0</v>
      </c>
      <c r="P8" s="87">
        <v>0</v>
      </c>
      <c r="Q8" s="87">
        <v>0</v>
      </c>
      <c r="R8" s="87">
        <f t="shared" si="2"/>
        <v>11.934426229508198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4226</v>
      </c>
      <c r="B9" s="86">
        <f t="shared" si="14"/>
        <v>99931.553730321699</v>
      </c>
      <c r="C9" s="86">
        <f t="shared" si="0"/>
        <v>99942.498836285959</v>
      </c>
      <c r="D9" s="86">
        <f t="shared" si="5"/>
        <v>99943.867143111405</v>
      </c>
      <c r="E9" s="86">
        <f t="shared" si="6"/>
        <v>99945.235487404148</v>
      </c>
      <c r="F9" s="86">
        <f t="shared" si="7"/>
        <v>99946.603869165789</v>
      </c>
      <c r="G9" s="86">
        <f t="shared" si="8"/>
        <v>99947.972288397825</v>
      </c>
      <c r="H9" s="86">
        <f t="shared" si="9"/>
        <v>99949.340745101814</v>
      </c>
      <c r="I9" s="86">
        <f t="shared" si="10"/>
        <v>99950.709239279255</v>
      </c>
      <c r="J9" s="86">
        <f t="shared" si="11"/>
        <v>99952.077770931734</v>
      </c>
      <c r="K9" s="86">
        <f t="shared" si="12"/>
        <v>99953.446340060793</v>
      </c>
      <c r="L9" s="86">
        <f t="shared" si="1"/>
        <v>99945.235487404148</v>
      </c>
      <c r="M9" s="146" t="s">
        <v>4235</v>
      </c>
      <c r="N9" s="146">
        <f>259-$AD$19</f>
        <v>1</v>
      </c>
      <c r="O9" s="146">
        <v>0</v>
      </c>
      <c r="P9" s="146">
        <v>0</v>
      </c>
      <c r="Q9" s="146">
        <v>0</v>
      </c>
      <c r="R9" s="146">
        <f t="shared" si="2"/>
        <v>3.2786885245901641E-2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7" t="s">
        <v>986</v>
      </c>
      <c r="B10" s="188">
        <f t="shared" si="14"/>
        <v>74649.553771356703</v>
      </c>
      <c r="C10" s="188">
        <f t="shared" si="0"/>
        <v>78223.459687256604</v>
      </c>
      <c r="D10" s="188">
        <f t="shared" si="5"/>
        <v>78682.092656479595</v>
      </c>
      <c r="E10" s="188">
        <f t="shared" si="6"/>
        <v>79143.420976993148</v>
      </c>
      <c r="F10" s="188">
        <f t="shared" si="7"/>
        <v>79607.460526411698</v>
      </c>
      <c r="G10" s="188">
        <f t="shared" si="8"/>
        <v>80074.227276077727</v>
      </c>
      <c r="H10" s="188">
        <f t="shared" si="9"/>
        <v>80543.737291660771</v>
      </c>
      <c r="I10" s="188">
        <f t="shared" si="10"/>
        <v>81016.00673367588</v>
      </c>
      <c r="J10" s="188">
        <f t="shared" si="11"/>
        <v>81491.051858070176</v>
      </c>
      <c r="K10" s="188">
        <f t="shared" si="12"/>
        <v>81968.88901679343</v>
      </c>
      <c r="L10" s="188">
        <f t="shared" si="1"/>
        <v>79143.420976993148</v>
      </c>
      <c r="M10" s="187" t="s">
        <v>998</v>
      </c>
      <c r="N10" s="187">
        <f>685-$AD$19</f>
        <v>427</v>
      </c>
      <c r="O10" s="187">
        <v>0</v>
      </c>
      <c r="P10" s="187">
        <v>0</v>
      </c>
      <c r="Q10" s="187">
        <v>0</v>
      </c>
      <c r="R10" s="187">
        <f t="shared" si="2"/>
        <v>14</v>
      </c>
      <c r="S10" s="188">
        <v>100000</v>
      </c>
      <c r="T10" s="188">
        <v>70000</v>
      </c>
      <c r="U10" s="188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987</v>
      </c>
      <c r="B11" s="88">
        <f t="shared" si="14"/>
        <v>76094.505690212565</v>
      </c>
      <c r="C11" s="88">
        <f t="shared" si="0"/>
        <v>79493.444179947925</v>
      </c>
      <c r="D11" s="88">
        <f t="shared" si="5"/>
        <v>79928.877105178122</v>
      </c>
      <c r="E11" s="88">
        <f t="shared" si="6"/>
        <v>80366.701166366431</v>
      </c>
      <c r="F11" s="88">
        <f t="shared" si="7"/>
        <v>80806.929527211934</v>
      </c>
      <c r="G11" s="88">
        <f t="shared" si="8"/>
        <v>81249.575424043243</v>
      </c>
      <c r="H11" s="88">
        <f t="shared" si="9"/>
        <v>81694.652166262575</v>
      </c>
      <c r="I11" s="88">
        <f t="shared" si="10"/>
        <v>82142.17313671195</v>
      </c>
      <c r="J11" s="88">
        <f t="shared" si="11"/>
        <v>82592.151792103745</v>
      </c>
      <c r="K11" s="88">
        <f t="shared" si="12"/>
        <v>83044.601663434718</v>
      </c>
      <c r="L11" s="88">
        <f t="shared" si="1"/>
        <v>80366.701166366431</v>
      </c>
      <c r="M11" s="87" t="s">
        <v>999</v>
      </c>
      <c r="N11" s="87">
        <f>657-$AD$19</f>
        <v>399</v>
      </c>
      <c r="O11" s="87">
        <v>0</v>
      </c>
      <c r="P11" s="87">
        <v>0</v>
      </c>
      <c r="Q11" s="87">
        <v>0</v>
      </c>
      <c r="R11" s="87">
        <f t="shared" si="2"/>
        <v>13.081967213114755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988</v>
      </c>
      <c r="B12" s="86">
        <f t="shared" si="14"/>
        <v>76094.505690212565</v>
      </c>
      <c r="C12" s="86">
        <f t="shared" si="0"/>
        <v>79493.444179947925</v>
      </c>
      <c r="D12" s="86">
        <f t="shared" si="5"/>
        <v>79928.877105178122</v>
      </c>
      <c r="E12" s="86">
        <f t="shared" si="6"/>
        <v>80366.701166366431</v>
      </c>
      <c r="F12" s="86">
        <f t="shared" si="7"/>
        <v>80806.929527211934</v>
      </c>
      <c r="G12" s="86">
        <f t="shared" si="8"/>
        <v>81249.575424043243</v>
      </c>
      <c r="H12" s="86">
        <f t="shared" si="9"/>
        <v>81694.652166262575</v>
      </c>
      <c r="I12" s="86">
        <f t="shared" si="10"/>
        <v>82142.17313671195</v>
      </c>
      <c r="J12" s="86">
        <f t="shared" si="11"/>
        <v>82592.151792103745</v>
      </c>
      <c r="K12" s="86">
        <f t="shared" si="12"/>
        <v>83044.601663434718</v>
      </c>
      <c r="L12" s="86">
        <f t="shared" si="1"/>
        <v>80366.701166366431</v>
      </c>
      <c r="M12" s="146" t="s">
        <v>999</v>
      </c>
      <c r="N12" s="146">
        <f>657-$AD$19</f>
        <v>399</v>
      </c>
      <c r="O12" s="146">
        <v>0</v>
      </c>
      <c r="P12" s="146">
        <v>0</v>
      </c>
      <c r="Q12" s="146">
        <v>0</v>
      </c>
      <c r="R12" s="146">
        <f t="shared" si="2"/>
        <v>13.081967213114755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7" t="s">
        <v>989</v>
      </c>
      <c r="B13" s="188">
        <f t="shared" si="14"/>
        <v>79068.85842186345</v>
      </c>
      <c r="C13" s="188">
        <f t="shared" si="0"/>
        <v>82095.603807312829</v>
      </c>
      <c r="D13" s="188">
        <f t="shared" si="5"/>
        <v>82482.028127861122</v>
      </c>
      <c r="E13" s="188">
        <f t="shared" si="6"/>
        <v>82870.276677098853</v>
      </c>
      <c r="F13" s="188">
        <f t="shared" si="7"/>
        <v>83260.358091991075</v>
      </c>
      <c r="G13" s="188">
        <f t="shared" si="8"/>
        <v>83652.281050495862</v>
      </c>
      <c r="H13" s="188">
        <f t="shared" si="9"/>
        <v>84046.054271796573</v>
      </c>
      <c r="I13" s="188">
        <f t="shared" si="10"/>
        <v>84441.686516464833</v>
      </c>
      <c r="J13" s="188">
        <f t="shared" si="11"/>
        <v>84839.186586678727</v>
      </c>
      <c r="K13" s="188">
        <f t="shared" si="12"/>
        <v>85238.56332642585</v>
      </c>
      <c r="L13" s="188">
        <f t="shared" si="1"/>
        <v>82870.276677098853</v>
      </c>
      <c r="M13" s="187" t="s">
        <v>991</v>
      </c>
      <c r="N13" s="187">
        <f>601-$AD$19</f>
        <v>343</v>
      </c>
      <c r="O13" s="187">
        <v>0</v>
      </c>
      <c r="P13" s="187">
        <v>0</v>
      </c>
      <c r="Q13" s="187">
        <v>0</v>
      </c>
      <c r="R13" s="187">
        <f t="shared" si="2"/>
        <v>11.245901639344263</v>
      </c>
      <c r="S13" s="188">
        <v>100000</v>
      </c>
      <c r="T13" s="188">
        <v>73100</v>
      </c>
      <c r="U13" s="188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3854</v>
      </c>
      <c r="B14" s="88">
        <f t="shared" si="14"/>
        <v>84036.996442112853</v>
      </c>
      <c r="C14" s="88">
        <f t="shared" si="0"/>
        <v>86407.564406254474</v>
      </c>
      <c r="D14" s="88">
        <f t="shared" si="5"/>
        <v>86708.567625146796</v>
      </c>
      <c r="E14" s="88">
        <f t="shared" si="6"/>
        <v>87010.623539942841</v>
      </c>
      <c r="F14" s="88">
        <f t="shared" si="7"/>
        <v>87313.735846721756</v>
      </c>
      <c r="G14" s="88">
        <f t="shared" si="8"/>
        <v>87617.908254576352</v>
      </c>
      <c r="H14" s="88">
        <f t="shared" si="9"/>
        <v>87923.144485687997</v>
      </c>
      <c r="I14" s="88">
        <f t="shared" si="10"/>
        <v>88229.448275346891</v>
      </c>
      <c r="J14" s="88">
        <f t="shared" si="11"/>
        <v>88536.823372014915</v>
      </c>
      <c r="K14" s="88">
        <f t="shared" si="12"/>
        <v>88845.273537376081</v>
      </c>
      <c r="L14" s="88">
        <f t="shared" si="1"/>
        <v>87010.623539942841</v>
      </c>
      <c r="M14" s="87" t="s">
        <v>3855</v>
      </c>
      <c r="N14" s="87">
        <f>512-$AD$19</f>
        <v>254</v>
      </c>
      <c r="O14" s="87">
        <v>0</v>
      </c>
      <c r="P14" s="87">
        <v>0</v>
      </c>
      <c r="Q14" s="87">
        <v>0</v>
      </c>
      <c r="R14" s="87">
        <f t="shared" si="2"/>
        <v>8.3278688524590159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3907</v>
      </c>
      <c r="B15" s="57">
        <f t="shared" si="14"/>
        <v>65229.983172622</v>
      </c>
      <c r="C15" s="57">
        <f t="shared" si="0"/>
        <v>69843.688637185798</v>
      </c>
      <c r="D15" s="57">
        <f t="shared" si="5"/>
        <v>70442.92547376077</v>
      </c>
      <c r="E15" s="57">
        <f t="shared" si="6"/>
        <v>71047.311883488321</v>
      </c>
      <c r="F15" s="57">
        <f t="shared" si="7"/>
        <v>71656.892190923027</v>
      </c>
      <c r="G15" s="57">
        <f t="shared" si="8"/>
        <v>72271.711102725123</v>
      </c>
      <c r="H15" s="57">
        <f t="shared" si="9"/>
        <v>72891.813711018433</v>
      </c>
      <c r="I15" s="57">
        <f t="shared" si="10"/>
        <v>73517.245496666525</v>
      </c>
      <c r="J15" s="57">
        <f t="shared" si="11"/>
        <v>74148.052332662599</v>
      </c>
      <c r="K15" s="57">
        <f t="shared" si="12"/>
        <v>74784.280487523909</v>
      </c>
      <c r="L15" s="57">
        <f t="shared" si="1"/>
        <v>71047.311883488321</v>
      </c>
      <c r="M15" s="12" t="s">
        <v>3908</v>
      </c>
      <c r="N15" s="12">
        <f>882-$AD$19</f>
        <v>624</v>
      </c>
      <c r="O15" s="12">
        <v>0</v>
      </c>
      <c r="P15" s="12">
        <v>0</v>
      </c>
      <c r="Q15" s="12">
        <v>0</v>
      </c>
      <c r="R15" s="12">
        <f t="shared" si="2"/>
        <v>20.459016393442624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3956</v>
      </c>
      <c r="B16" s="86">
        <f t="shared" si="14"/>
        <v>63991.336722431064</v>
      </c>
      <c r="C16" s="86">
        <f t="shared" si="0"/>
        <v>68727.868302608302</v>
      </c>
      <c r="D16" s="86">
        <f t="shared" si="5"/>
        <v>69344.109286390303</v>
      </c>
      <c r="E16" s="86">
        <f t="shared" si="6"/>
        <v>69965.884278846643</v>
      </c>
      <c r="F16" s="86">
        <f t="shared" si="7"/>
        <v>70593.243053657512</v>
      </c>
      <c r="G16" s="86">
        <f t="shared" si="8"/>
        <v>71226.235832835271</v>
      </c>
      <c r="H16" s="86">
        <f t="shared" si="9"/>
        <v>71864.913290829631</v>
      </c>
      <c r="I16" s="86">
        <f t="shared" si="10"/>
        <v>72509.326558555345</v>
      </c>
      <c r="J16" s="86">
        <f t="shared" si="11"/>
        <v>73159.527227544575</v>
      </c>
      <c r="K16" s="86">
        <f t="shared" si="12"/>
        <v>73815.567354111161</v>
      </c>
      <c r="L16" s="86">
        <f t="shared" si="1"/>
        <v>69965.884278846643</v>
      </c>
      <c r="M16" s="146" t="s">
        <v>4212</v>
      </c>
      <c r="N16" s="146">
        <f>910-$AD$19</f>
        <v>652</v>
      </c>
      <c r="O16" s="146">
        <v>0</v>
      </c>
      <c r="P16" s="146">
        <v>0</v>
      </c>
      <c r="Q16" s="146">
        <v>0</v>
      </c>
      <c r="R16" s="146">
        <f t="shared" si="2"/>
        <v>21.377049180327869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7" t="s">
        <v>4227</v>
      </c>
      <c r="B17" s="188">
        <f t="shared" si="14"/>
        <v>99453.739818107439</v>
      </c>
      <c r="C17" s="188">
        <f t="shared" si="0"/>
        <v>99540.915413847426</v>
      </c>
      <c r="D17" s="188">
        <f t="shared" si="5"/>
        <v>99551.818406454418</v>
      </c>
      <c r="E17" s="188">
        <f t="shared" si="6"/>
        <v>99562.722742594109</v>
      </c>
      <c r="F17" s="188">
        <f t="shared" si="7"/>
        <v>99573.628422450667</v>
      </c>
      <c r="G17" s="188">
        <f t="shared" si="8"/>
        <v>99584.53544620781</v>
      </c>
      <c r="H17" s="188">
        <f t="shared" si="9"/>
        <v>99595.443814049795</v>
      </c>
      <c r="I17" s="188">
        <f t="shared" si="10"/>
        <v>99606.353526160514</v>
      </c>
      <c r="J17" s="188">
        <f t="shared" si="11"/>
        <v>99617.264582724019</v>
      </c>
      <c r="K17" s="188">
        <f t="shared" si="12"/>
        <v>99628.176983924757</v>
      </c>
      <c r="L17" s="188">
        <f t="shared" si="1"/>
        <v>99562.722742594109</v>
      </c>
      <c r="M17" s="187" t="s">
        <v>4236</v>
      </c>
      <c r="N17" s="187">
        <f>266-$AD$19</f>
        <v>8</v>
      </c>
      <c r="O17" s="187">
        <v>0</v>
      </c>
      <c r="P17" s="187">
        <v>0</v>
      </c>
      <c r="Q17" s="187">
        <v>0</v>
      </c>
      <c r="R17" s="187">
        <f t="shared" si="2"/>
        <v>0.26229508196721313</v>
      </c>
      <c r="S17" s="188">
        <v>100000</v>
      </c>
      <c r="T17" s="188"/>
      <c r="U17" s="188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4228</v>
      </c>
      <c r="B18" s="88">
        <f t="shared" si="14"/>
        <v>97165.227914581468</v>
      </c>
      <c r="C18" s="88">
        <f t="shared" si="0"/>
        <v>97613.202048269552</v>
      </c>
      <c r="D18" s="88">
        <f t="shared" si="5"/>
        <v>97669.347300262249</v>
      </c>
      <c r="E18" s="88">
        <f t="shared" si="6"/>
        <v>97725.52561528224</v>
      </c>
      <c r="F18" s="88">
        <f t="shared" si="7"/>
        <v>97781.737013254096</v>
      </c>
      <c r="G18" s="88">
        <f t="shared" si="8"/>
        <v>97837.981514112078</v>
      </c>
      <c r="H18" s="88">
        <f t="shared" si="9"/>
        <v>97894.259137805391</v>
      </c>
      <c r="I18" s="88">
        <f t="shared" si="10"/>
        <v>97950.569904293356</v>
      </c>
      <c r="J18" s="88">
        <f t="shared" si="11"/>
        <v>98006.913833548562</v>
      </c>
      <c r="K18" s="88">
        <f t="shared" si="12"/>
        <v>98063.290945557514</v>
      </c>
      <c r="L18" s="88">
        <f t="shared" si="1"/>
        <v>97725.52561528224</v>
      </c>
      <c r="M18" s="87" t="s">
        <v>4237</v>
      </c>
      <c r="N18" s="87">
        <f>300-$AD$19</f>
        <v>42</v>
      </c>
      <c r="O18" s="87">
        <v>0</v>
      </c>
      <c r="P18" s="87">
        <v>0</v>
      </c>
      <c r="Q18" s="87">
        <v>0</v>
      </c>
      <c r="R18" s="87">
        <f t="shared" si="2"/>
        <v>1.3770491803278688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1001</v>
      </c>
      <c r="AD18" t="s">
        <v>1040</v>
      </c>
      <c r="AF18" s="26"/>
    </row>
    <row r="19" spans="1:32" ht="21.75" customHeight="1">
      <c r="A19" s="12" t="s">
        <v>4229</v>
      </c>
      <c r="B19" s="57">
        <f t="shared" si="14"/>
        <v>59024.549984026846</v>
      </c>
      <c r="C19" s="57">
        <f t="shared" si="0"/>
        <v>64218.021549223231</v>
      </c>
      <c r="D19" s="57">
        <f t="shared" si="5"/>
        <v>64898.585796507279</v>
      </c>
      <c r="E19" s="57">
        <f t="shared" si="6"/>
        <v>65586.371935355317</v>
      </c>
      <c r="F19" s="57">
        <f t="shared" si="7"/>
        <v>66281.456702230847</v>
      </c>
      <c r="G19" s="57">
        <f t="shared" si="8"/>
        <v>66983.917649997369</v>
      </c>
      <c r="H19" s="57">
        <f t="shared" si="9"/>
        <v>67693.833156682434</v>
      </c>
      <c r="I19" s="57">
        <f t="shared" si="10"/>
        <v>68411.28243420861</v>
      </c>
      <c r="J19" s="57">
        <f t="shared" si="11"/>
        <v>69136.345537315239</v>
      </c>
      <c r="K19" s="57">
        <f t="shared" si="12"/>
        <v>69869.103372547193</v>
      </c>
      <c r="L19" s="57">
        <f t="shared" si="1"/>
        <v>65586.371935355317</v>
      </c>
      <c r="M19" s="12" t="s">
        <v>4238</v>
      </c>
      <c r="N19" s="12">
        <f>1028-$AD$19</f>
        <v>770</v>
      </c>
      <c r="O19" s="12">
        <v>0</v>
      </c>
      <c r="P19" s="12">
        <v>0</v>
      </c>
      <c r="Q19" s="12">
        <v>0</v>
      </c>
      <c r="R19" s="12">
        <f t="shared" si="2"/>
        <v>25.245901639344261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1049</v>
      </c>
      <c r="AD19">
        <v>258</v>
      </c>
      <c r="AF19" s="26"/>
    </row>
    <row r="20" spans="1:32" ht="22.5" customHeight="1">
      <c r="A20" s="146" t="s">
        <v>4230</v>
      </c>
      <c r="B20" s="86">
        <f t="shared" si="14"/>
        <v>84036.996442112853</v>
      </c>
      <c r="C20" s="86">
        <f t="shared" si="0"/>
        <v>86407.564406254474</v>
      </c>
      <c r="D20" s="86">
        <f t="shared" si="5"/>
        <v>86708.567625146796</v>
      </c>
      <c r="E20" s="86">
        <f t="shared" si="6"/>
        <v>87010.623539942841</v>
      </c>
      <c r="F20" s="86">
        <f t="shared" si="7"/>
        <v>87313.735846721756</v>
      </c>
      <c r="G20" s="86">
        <f t="shared" si="8"/>
        <v>87617.908254576352</v>
      </c>
      <c r="H20" s="86">
        <f t="shared" si="9"/>
        <v>87923.144485687997</v>
      </c>
      <c r="I20" s="86">
        <f t="shared" si="10"/>
        <v>88229.448275346891</v>
      </c>
      <c r="J20" s="86">
        <f t="shared" si="11"/>
        <v>88536.823372014915</v>
      </c>
      <c r="K20" s="86">
        <f t="shared" si="12"/>
        <v>88845.273537376081</v>
      </c>
      <c r="L20" s="86">
        <f t="shared" si="1"/>
        <v>87010.623539942841</v>
      </c>
      <c r="M20" s="146" t="s">
        <v>3855</v>
      </c>
      <c r="N20" s="146">
        <f>512-$AD$19</f>
        <v>254</v>
      </c>
      <c r="O20" s="146">
        <v>0</v>
      </c>
      <c r="P20" s="146">
        <v>0</v>
      </c>
      <c r="Q20" s="146">
        <v>0</v>
      </c>
      <c r="R20" s="146">
        <f t="shared" si="2"/>
        <v>8.3278688524590159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7" t="s">
        <v>4231</v>
      </c>
      <c r="B21" s="188">
        <f t="shared" si="14"/>
        <v>66857.823112987317</v>
      </c>
      <c r="C21" s="188">
        <f>$S21/(1+($C$1-$O21+$P21)/36500)^$N21</f>
        <v>71304.974843349148</v>
      </c>
      <c r="D21" s="188">
        <f t="shared" si="5"/>
        <v>71881.312145205186</v>
      </c>
      <c r="E21" s="188">
        <f t="shared" si="6"/>
        <v>72462.31579975826</v>
      </c>
      <c r="F21" s="188">
        <f t="shared" si="7"/>
        <v>73048.023653116747</v>
      </c>
      <c r="G21" s="188">
        <f t="shared" si="8"/>
        <v>73638.473858833444</v>
      </c>
      <c r="H21" s="188">
        <f t="shared" si="9"/>
        <v>74233.704880463745</v>
      </c>
      <c r="I21" s="188">
        <f t="shared" si="10"/>
        <v>74833.755494038065</v>
      </c>
      <c r="J21" s="188">
        <f t="shared" si="11"/>
        <v>75438.664790636714</v>
      </c>
      <c r="K21" s="188">
        <f t="shared" si="12"/>
        <v>76048.472178961587</v>
      </c>
      <c r="L21" s="188">
        <f t="shared" si="1"/>
        <v>72462.31579975826</v>
      </c>
      <c r="M21" s="187" t="s">
        <v>4239</v>
      </c>
      <c r="N21" s="187">
        <f>846-$AD$19</f>
        <v>588</v>
      </c>
      <c r="O21" s="187">
        <v>0</v>
      </c>
      <c r="P21" s="187">
        <v>0</v>
      </c>
      <c r="Q21" s="187">
        <v>0</v>
      </c>
      <c r="R21" s="187">
        <f t="shared" si="2"/>
        <v>19.278688524590162</v>
      </c>
      <c r="S21" s="188">
        <v>100000</v>
      </c>
      <c r="T21" s="188"/>
      <c r="U21" s="188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1" t="s">
        <v>4364</v>
      </c>
      <c r="B22" s="45">
        <f t="shared" si="14"/>
        <v>82047.03981151247</v>
      </c>
      <c r="C22" s="45">
        <f>$S22/(1+($C$1-$O22+$P22)/36500)^$N22</f>
        <v>84685.468897250714</v>
      </c>
      <c r="D22" s="45">
        <f t="shared" si="5"/>
        <v>85021.203818028414</v>
      </c>
      <c r="E22" s="45">
        <f t="shared" si="6"/>
        <v>85358.274381351963</v>
      </c>
      <c r="F22" s="45">
        <f t="shared" si="7"/>
        <v>85696.685919165073</v>
      </c>
      <c r="G22" s="45">
        <f t="shared" si="8"/>
        <v>86036.443784753879</v>
      </c>
      <c r="H22" s="45">
        <f t="shared" si="9"/>
        <v>86377.553352865332</v>
      </c>
      <c r="I22" s="45">
        <f t="shared" si="10"/>
        <v>86720.020019764401</v>
      </c>
      <c r="J22" s="45">
        <f t="shared" si="11"/>
        <v>87063.849203338759</v>
      </c>
      <c r="K22" s="45">
        <f t="shared" si="12"/>
        <v>87409.046343190101</v>
      </c>
      <c r="L22" s="45">
        <f t="shared" si="1"/>
        <v>85358.274381351963</v>
      </c>
      <c r="M22" s="191" t="s">
        <v>4365</v>
      </c>
      <c r="N22" s="191">
        <f>547-$AD$19</f>
        <v>289</v>
      </c>
      <c r="O22" s="191">
        <v>0</v>
      </c>
      <c r="P22" s="191">
        <v>0</v>
      </c>
      <c r="Q22" s="191">
        <v>0</v>
      </c>
      <c r="R22" s="191">
        <f t="shared" si="2"/>
        <v>9.4754098360655732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7" t="s">
        <v>4290</v>
      </c>
      <c r="B23" s="188">
        <f t="shared" si="14"/>
        <v>80544.185232637843</v>
      </c>
      <c r="C23" s="188">
        <f>$S23/(1+($C$1-$O23+$P23)/36500)^$N23</f>
        <v>83380.481545894218</v>
      </c>
      <c r="D23" s="188">
        <f t="shared" si="5"/>
        <v>83741.992600983838</v>
      </c>
      <c r="E23" s="188">
        <f t="shared" si="6"/>
        <v>84105.076033865858</v>
      </c>
      <c r="F23" s="188">
        <f t="shared" si="7"/>
        <v>84469.738705210722</v>
      </c>
      <c r="G23" s="188">
        <f t="shared" si="8"/>
        <v>84835.987505700788</v>
      </c>
      <c r="H23" s="188">
        <f t="shared" si="9"/>
        <v>85203.829356196904</v>
      </c>
      <c r="I23" s="188">
        <f t="shared" si="10"/>
        <v>85573.271207839774</v>
      </c>
      <c r="J23" s="188">
        <f t="shared" si="11"/>
        <v>85944.320042202409</v>
      </c>
      <c r="K23" s="188">
        <f t="shared" si="12"/>
        <v>86316.982871428612</v>
      </c>
      <c r="L23" s="188">
        <f t="shared" si="1"/>
        <v>84105.076033865858</v>
      </c>
      <c r="M23" s="187" t="s">
        <v>4291</v>
      </c>
      <c r="N23" s="187">
        <f>574-$AD$19</f>
        <v>316</v>
      </c>
      <c r="O23" s="187">
        <v>0</v>
      </c>
      <c r="P23" s="187"/>
      <c r="Q23" s="187">
        <v>0</v>
      </c>
      <c r="R23" s="187">
        <f t="shared" si="2"/>
        <v>10.360655737704919</v>
      </c>
      <c r="S23" s="188">
        <v>100000</v>
      </c>
      <c r="T23" s="188"/>
      <c r="U23" s="188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950</v>
      </c>
      <c r="AD23" t="s">
        <v>1050</v>
      </c>
      <c r="AE23" s="25"/>
      <c r="AF23" s="26"/>
    </row>
    <row r="24" spans="1:32">
      <c r="A24" s="87" t="s">
        <v>4232</v>
      </c>
      <c r="B24" s="88">
        <f t="shared" si="14"/>
        <v>85429.362499077877</v>
      </c>
      <c r="C24" s="88">
        <f t="shared" ref="C24:C38" si="16">$S24/(1+($C$1-$O24+$P24)/36500)^$N24</f>
        <v>87608.626703974835</v>
      </c>
      <c r="D24" s="88">
        <f t="shared" si="5"/>
        <v>87884.931853218863</v>
      </c>
      <c r="E24" s="88">
        <f t="shared" si="6"/>
        <v>88162.11223041729</v>
      </c>
      <c r="F24" s="88">
        <f t="shared" si="7"/>
        <v>88440.170620000266</v>
      </c>
      <c r="G24" s="88">
        <f t="shared" si="8"/>
        <v>88719.109815281219</v>
      </c>
      <c r="H24" s="88">
        <f t="shared" si="9"/>
        <v>88998.93261851203</v>
      </c>
      <c r="I24" s="88">
        <f t="shared" si="10"/>
        <v>89279.641840887896</v>
      </c>
      <c r="J24" s="88">
        <f t="shared" si="11"/>
        <v>89561.24030259093</v>
      </c>
      <c r="K24" s="88">
        <f t="shared" si="12"/>
        <v>89843.730832822563</v>
      </c>
      <c r="L24" s="88">
        <f t="shared" si="1"/>
        <v>88162.11223041729</v>
      </c>
      <c r="M24" s="87" t="s">
        <v>4240</v>
      </c>
      <c r="N24" s="87">
        <f>488-$AD$19</f>
        <v>230</v>
      </c>
      <c r="O24" s="87">
        <v>0</v>
      </c>
      <c r="P24" s="87">
        <v>0</v>
      </c>
      <c r="Q24" s="87">
        <v>0</v>
      </c>
      <c r="R24" s="87">
        <f t="shared" si="2"/>
        <v>7.5409836065573774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4233</v>
      </c>
      <c r="B25" s="86">
        <f t="shared" si="14"/>
        <v>83635.180953992793</v>
      </c>
      <c r="C25" s="86">
        <f t="shared" si="16"/>
        <v>86060.366308919693</v>
      </c>
      <c r="D25" s="86">
        <f t="shared" si="5"/>
        <v>86368.436856081258</v>
      </c>
      <c r="E25" s="86">
        <f t="shared" si="6"/>
        <v>86677.614444755993</v>
      </c>
      <c r="F25" s="86">
        <f t="shared" si="7"/>
        <v>86987.903068307132</v>
      </c>
      <c r="G25" s="86">
        <f t="shared" si="8"/>
        <v>87299.306734543017</v>
      </c>
      <c r="H25" s="86">
        <f t="shared" si="9"/>
        <v>87611.829465799281</v>
      </c>
      <c r="I25" s="86">
        <f t="shared" si="10"/>
        <v>87925.475298965146</v>
      </c>
      <c r="J25" s="86">
        <f t="shared" si="11"/>
        <v>88240.248285552982</v>
      </c>
      <c r="K25" s="86">
        <f t="shared" si="12"/>
        <v>88556.152491755318</v>
      </c>
      <c r="L25" s="86">
        <f t="shared" si="1"/>
        <v>86677.614444755993</v>
      </c>
      <c r="M25" s="146" t="s">
        <v>4241</v>
      </c>
      <c r="N25" s="146">
        <f>519-$AD$19</f>
        <v>261</v>
      </c>
      <c r="O25" s="146">
        <v>0</v>
      </c>
      <c r="P25" s="146">
        <v>0</v>
      </c>
      <c r="Q25" s="146">
        <v>0</v>
      </c>
      <c r="R25" s="146">
        <f t="shared" si="2"/>
        <v>8.557377049180328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7" t="s">
        <v>1003</v>
      </c>
      <c r="B26" s="188">
        <f t="shared" si="14"/>
        <v>76608.387094321617</v>
      </c>
      <c r="C26" s="188">
        <f t="shared" si="16"/>
        <v>86791.27684456823</v>
      </c>
      <c r="D26" s="188">
        <f t="shared" si="5"/>
        <v>88155.91653347385</v>
      </c>
      <c r="E26" s="188">
        <f t="shared" si="6"/>
        <v>89542.031907794983</v>
      </c>
      <c r="F26" s="188">
        <f t="shared" si="7"/>
        <v>90949.961236987176</v>
      </c>
      <c r="G26" s="188">
        <f t="shared" si="8"/>
        <v>92380.048123502231</v>
      </c>
      <c r="H26" s="188">
        <f t="shared" si="9"/>
        <v>93832.641586874553</v>
      </c>
      <c r="I26" s="188">
        <f t="shared" si="10"/>
        <v>95308.096149068151</v>
      </c>
      <c r="J26" s="188">
        <f t="shared" si="11"/>
        <v>96806.771921588792</v>
      </c>
      <c r="K26" s="188">
        <f t="shared" si="12"/>
        <v>98329.034693387526</v>
      </c>
      <c r="L26" s="188">
        <f t="shared" si="1"/>
        <v>89542.031907794983</v>
      </c>
      <c r="M26" s="187" t="s">
        <v>1004</v>
      </c>
      <c r="N26" s="187">
        <f>1397-$AD$19</f>
        <v>1139</v>
      </c>
      <c r="O26" s="187">
        <v>17</v>
      </c>
      <c r="P26" s="187">
        <f>$AI$2</f>
        <v>0.54</v>
      </c>
      <c r="Q26" s="187">
        <v>6</v>
      </c>
      <c r="R26" s="187">
        <f t="shared" si="2"/>
        <v>37.344262295081968</v>
      </c>
      <c r="S26" s="188">
        <v>100000</v>
      </c>
      <c r="T26" s="188">
        <v>96000</v>
      </c>
      <c r="U26" s="188">
        <f t="shared" si="3"/>
        <v>167097.33732914107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960</v>
      </c>
      <c r="B27" s="88">
        <f t="shared" si="14"/>
        <v>96285.789795203469</v>
      </c>
      <c r="C27" s="88">
        <f t="shared" si="16"/>
        <v>99569.180323273889</v>
      </c>
      <c r="D27" s="88">
        <f t="shared" si="5"/>
        <v>99987.425450782524</v>
      </c>
      <c r="E27" s="88">
        <f t="shared" si="6"/>
        <v>100407.43320260345</v>
      </c>
      <c r="F27" s="88">
        <f t="shared" si="7"/>
        <v>100829.21103132689</v>
      </c>
      <c r="G27" s="88">
        <f t="shared" si="8"/>
        <v>101252.76642114812</v>
      </c>
      <c r="H27" s="88">
        <f t="shared" si="9"/>
        <v>101678.10688801693</v>
      </c>
      <c r="I27" s="88">
        <f t="shared" si="10"/>
        <v>102105.2399797531</v>
      </c>
      <c r="J27" s="88">
        <f t="shared" si="11"/>
        <v>102534.17327621111</v>
      </c>
      <c r="K27" s="88">
        <f t="shared" si="12"/>
        <v>102964.91438939216</v>
      </c>
      <c r="L27" s="88">
        <f t="shared" si="1"/>
        <v>100407.43320260345</v>
      </c>
      <c r="M27" s="87" t="s">
        <v>975</v>
      </c>
      <c r="N27" s="87">
        <f>564-$AD$19</f>
        <v>306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10.032786885245901</v>
      </c>
      <c r="S27" s="88">
        <v>100000</v>
      </c>
      <c r="T27" s="88">
        <v>100000</v>
      </c>
      <c r="U27" s="88">
        <f t="shared" si="3"/>
        <v>118728.34196936323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961</v>
      </c>
      <c r="B28" s="57">
        <f t="shared" si="14"/>
        <v>91925.634193996884</v>
      </c>
      <c r="C28" s="57">
        <f t="shared" si="16"/>
        <v>95237.131265371121</v>
      </c>
      <c r="D28" s="57">
        <f t="shared" si="5"/>
        <v>95659.395544193569</v>
      </c>
      <c r="E28" s="57">
        <f t="shared" si="6"/>
        <v>96083.537888937673</v>
      </c>
      <c r="F28" s="57">
        <f t="shared" si="7"/>
        <v>96509.566678383257</v>
      </c>
      <c r="G28" s="57">
        <f t="shared" si="8"/>
        <v>96937.490328836939</v>
      </c>
      <c r="H28" s="57">
        <f t="shared" si="9"/>
        <v>97367.31729424528</v>
      </c>
      <c r="I28" s="57">
        <f t="shared" si="10"/>
        <v>97799.056066405028</v>
      </c>
      <c r="J28" s="57">
        <f t="shared" si="11"/>
        <v>98232.715175119345</v>
      </c>
      <c r="K28" s="57">
        <f t="shared" si="12"/>
        <v>98668.303188348553</v>
      </c>
      <c r="L28" s="57">
        <f t="shared" si="1"/>
        <v>96083.537888937673</v>
      </c>
      <c r="M28" s="12" t="s">
        <v>976</v>
      </c>
      <c r="N28" s="12">
        <f>581-$AD$19</f>
        <v>323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10.590163934426229</v>
      </c>
      <c r="S28" s="57">
        <v>100000</v>
      </c>
      <c r="T28" s="57">
        <v>92000</v>
      </c>
      <c r="U28" s="57">
        <f t="shared" si="3"/>
        <v>114679.01740212817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954</v>
      </c>
      <c r="B29" s="86">
        <f t="shared" si="14"/>
        <v>95467.518427419433</v>
      </c>
      <c r="C29" s="86">
        <f t="shared" si="16"/>
        <v>99472.291443233684</v>
      </c>
      <c r="D29" s="86">
        <f t="shared" si="5"/>
        <v>99984.590231691254</v>
      </c>
      <c r="E29" s="86">
        <f t="shared" si="6"/>
        <v>100499.53451593168</v>
      </c>
      <c r="F29" s="86">
        <f t="shared" si="7"/>
        <v>101017.13799374478</v>
      </c>
      <c r="G29" s="86">
        <f t="shared" si="8"/>
        <v>101537.41443402359</v>
      </c>
      <c r="H29" s="86">
        <f t="shared" si="9"/>
        <v>102060.37767715298</v>
      </c>
      <c r="I29" s="86">
        <f t="shared" si="10"/>
        <v>102586.04163535734</v>
      </c>
      <c r="J29" s="86">
        <f t="shared" si="11"/>
        <v>103114.42029311057</v>
      </c>
      <c r="K29" s="86">
        <f t="shared" si="12"/>
        <v>103645.52770748203</v>
      </c>
      <c r="L29" s="86">
        <f t="shared" si="1"/>
        <v>100499.53451593168</v>
      </c>
      <c r="M29" s="146" t="s">
        <v>977</v>
      </c>
      <c r="N29" s="146">
        <f>633-$AD$19</f>
        <v>375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12.295081967213115</v>
      </c>
      <c r="S29" s="86">
        <v>100000</v>
      </c>
      <c r="T29" s="86">
        <v>100000</v>
      </c>
      <c r="U29" s="86">
        <f t="shared" si="3"/>
        <v>123414.35843777862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947</v>
      </c>
      <c r="B30" s="90">
        <f t="shared" si="14"/>
        <v>94667.909867234514</v>
      </c>
      <c r="C30" s="94">
        <f t="shared" si="16"/>
        <v>99376.898991345413</v>
      </c>
      <c r="D30" s="90">
        <f t="shared" si="5"/>
        <v>99981.796181387297</v>
      </c>
      <c r="E30" s="90">
        <f t="shared" si="6"/>
        <v>100590.38368186183</v>
      </c>
      <c r="F30" s="90">
        <f t="shared" si="7"/>
        <v>101202.68405735628</v>
      </c>
      <c r="G30" s="90">
        <f t="shared" si="8"/>
        <v>101818.72001073025</v>
      </c>
      <c r="H30" s="90">
        <f t="shared" si="9"/>
        <v>102438.51438398685</v>
      </c>
      <c r="I30" s="90">
        <f t="shared" si="10"/>
        <v>103062.09015909859</v>
      </c>
      <c r="J30" s="90">
        <f t="shared" si="11"/>
        <v>103689.47045890962</v>
      </c>
      <c r="K30" s="90">
        <f t="shared" si="12"/>
        <v>104320.67854796544</v>
      </c>
      <c r="L30" s="92">
        <f t="shared" si="1"/>
        <v>100590.38368186183</v>
      </c>
      <c r="M30" s="91" t="s">
        <v>978</v>
      </c>
      <c r="N30" s="91">
        <f>701-$AD$19</f>
        <v>443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14.524590163934427</v>
      </c>
      <c r="S30" s="92">
        <v>100000</v>
      </c>
      <c r="T30" s="92">
        <v>100000</v>
      </c>
      <c r="U30" s="92">
        <f t="shared" si="3"/>
        <v>128213.37576851119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962</v>
      </c>
      <c r="B31" s="90">
        <f t="shared" si="14"/>
        <v>90777.517772334249</v>
      </c>
      <c r="C31" s="94">
        <f t="shared" si="16"/>
        <v>95574.946650936647</v>
      </c>
      <c r="D31" s="90">
        <f t="shared" si="5"/>
        <v>96192.221968395461</v>
      </c>
      <c r="E31" s="90">
        <f t="shared" si="6"/>
        <v>96813.492524928341</v>
      </c>
      <c r="F31" s="90">
        <f t="shared" si="7"/>
        <v>97438.784234500388</v>
      </c>
      <c r="G31" s="90">
        <f t="shared" si="8"/>
        <v>98068.123179493312</v>
      </c>
      <c r="H31" s="90">
        <f t="shared" si="9"/>
        <v>98701.535611855419</v>
      </c>
      <c r="I31" s="90">
        <f t="shared" si="10"/>
        <v>99339.047954145019</v>
      </c>
      <c r="J31" s="90">
        <f t="shared" si="11"/>
        <v>99980.686800716619</v>
      </c>
      <c r="K31" s="90">
        <f t="shared" si="12"/>
        <v>100626.47891876215</v>
      </c>
      <c r="L31" s="94">
        <f t="shared" si="1"/>
        <v>96813.492524928341</v>
      </c>
      <c r="M31" s="93" t="s">
        <v>1002</v>
      </c>
      <c r="N31" s="93">
        <f>728-$AD$19</f>
        <v>470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15.409836065573771</v>
      </c>
      <c r="S31" s="94">
        <v>100000</v>
      </c>
      <c r="T31" s="94">
        <v>95000</v>
      </c>
      <c r="U31" s="94">
        <f t="shared" si="3"/>
        <v>125238.41817538605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963</v>
      </c>
      <c r="B32" s="86">
        <f t="shared" si="14"/>
        <v>89794.285720576532</v>
      </c>
      <c r="C32" s="86">
        <f t="shared" si="16"/>
        <v>93950.899228169306</v>
      </c>
      <c r="D32" s="86">
        <f t="shared" si="5"/>
        <v>94483.858978092423</v>
      </c>
      <c r="E32" s="86">
        <f t="shared" si="6"/>
        <v>95019.849436294535</v>
      </c>
      <c r="F32" s="86">
        <f t="shared" si="7"/>
        <v>95558.887878929192</v>
      </c>
      <c r="G32" s="86">
        <f t="shared" si="8"/>
        <v>96100.991680907289</v>
      </c>
      <c r="H32" s="86">
        <f t="shared" si="9"/>
        <v>96646.178316392863</v>
      </c>
      <c r="I32" s="86">
        <f t="shared" si="10"/>
        <v>97194.465359423804</v>
      </c>
      <c r="J32" s="86">
        <f t="shared" si="11"/>
        <v>97745.870484466825</v>
      </c>
      <c r="K32" s="86">
        <f t="shared" si="12"/>
        <v>98300.411466967285</v>
      </c>
      <c r="L32" s="86">
        <f t="shared" si="1"/>
        <v>95019.849436294535</v>
      </c>
      <c r="M32" s="146" t="s">
        <v>979</v>
      </c>
      <c r="N32" s="146">
        <f>671-$AD$19</f>
        <v>413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13.540983606557377</v>
      </c>
      <c r="S32" s="86">
        <v>100000</v>
      </c>
      <c r="T32" s="86">
        <v>90600</v>
      </c>
      <c r="U32" s="86">
        <f t="shared" si="3"/>
        <v>119140.23216081999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964</v>
      </c>
      <c r="B33" s="90">
        <f t="shared" si="14"/>
        <v>81066.255746874755</v>
      </c>
      <c r="C33" s="94">
        <f t="shared" si="16"/>
        <v>87787.523478339048</v>
      </c>
      <c r="D33" s="90">
        <f t="shared" si="5"/>
        <v>88666.006724582636</v>
      </c>
      <c r="E33" s="90">
        <f t="shared" si="6"/>
        <v>89553.293100721261</v>
      </c>
      <c r="F33" s="90">
        <f t="shared" si="7"/>
        <v>90449.470943804321</v>
      </c>
      <c r="G33" s="90">
        <f t="shared" si="8"/>
        <v>91354.629478566014</v>
      </c>
      <c r="H33" s="90">
        <f t="shared" si="9"/>
        <v>92268.858826278083</v>
      </c>
      <c r="I33" s="90">
        <f t="shared" si="10"/>
        <v>93192.250013902754</v>
      </c>
      <c r="J33" s="90">
        <f t="shared" si="11"/>
        <v>94124.894983070932</v>
      </c>
      <c r="K33" s="90">
        <f t="shared" si="12"/>
        <v>95066.886599402831</v>
      </c>
      <c r="L33" s="92">
        <f t="shared" si="1"/>
        <v>89553.293100721261</v>
      </c>
      <c r="M33" s="91" t="s">
        <v>980</v>
      </c>
      <c r="N33" s="91">
        <f>985-$AD$19</f>
        <v>727</v>
      </c>
      <c r="O33" s="91">
        <v>15</v>
      </c>
      <c r="P33" s="91">
        <f>$AI$2</f>
        <v>0.54</v>
      </c>
      <c r="Q33" s="91">
        <v>6</v>
      </c>
      <c r="R33" s="91">
        <f t="shared" si="2"/>
        <v>23.83606557377049</v>
      </c>
      <c r="S33" s="92">
        <v>100000</v>
      </c>
      <c r="T33" s="92">
        <v>85800</v>
      </c>
      <c r="U33" s="92">
        <f t="shared" si="3"/>
        <v>133358.57414695289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938</v>
      </c>
      <c r="B34" s="90">
        <f t="shared" si="14"/>
        <v>93063.029105606183</v>
      </c>
      <c r="C34" s="94">
        <f t="shared" si="16"/>
        <v>94139.394017418657</v>
      </c>
      <c r="D34" s="90">
        <f t="shared" si="5"/>
        <v>94274.820378495206</v>
      </c>
      <c r="E34" s="90">
        <f t="shared" si="6"/>
        <v>94410.443418363648</v>
      </c>
      <c r="F34" s="90">
        <f t="shared" si="7"/>
        <v>94546.263425360958</v>
      </c>
      <c r="G34" s="90">
        <f t="shared" si="8"/>
        <v>94682.280688244296</v>
      </c>
      <c r="H34" s="90">
        <f t="shared" si="9"/>
        <v>94818.495496204647</v>
      </c>
      <c r="I34" s="90">
        <f t="shared" si="10"/>
        <v>94954.90813885571</v>
      </c>
      <c r="J34" s="90">
        <f t="shared" si="11"/>
        <v>95091.518906242025</v>
      </c>
      <c r="K34" s="90">
        <f t="shared" si="12"/>
        <v>95228.328088841183</v>
      </c>
      <c r="L34" s="94">
        <f t="shared" si="1"/>
        <v>94410.443418363648</v>
      </c>
      <c r="M34" s="93" t="s">
        <v>981</v>
      </c>
      <c r="N34" s="93">
        <f>363-$AD$19</f>
        <v>105</v>
      </c>
      <c r="O34" s="93">
        <v>0</v>
      </c>
      <c r="P34" s="93">
        <v>0</v>
      </c>
      <c r="Q34" s="93">
        <v>0</v>
      </c>
      <c r="R34" s="93">
        <f t="shared" si="2"/>
        <v>3.442622950819672</v>
      </c>
      <c r="S34" s="94">
        <v>100000</v>
      </c>
      <c r="T34" s="94">
        <v>82800</v>
      </c>
      <c r="U34" s="94">
        <f>B34*(1+$AC$2/36500)^N34</f>
        <v>100000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969</v>
      </c>
      <c r="B35" s="90">
        <f>$S35/(1+($B$1-$O35+$P35)/36500)^$N35</f>
        <v>85762.311489454893</v>
      </c>
      <c r="C35" s="94">
        <f t="shared" si="16"/>
        <v>95820.150731680144</v>
      </c>
      <c r="D35" s="90">
        <f t="shared" si="5"/>
        <v>97157.709397818995</v>
      </c>
      <c r="E35" s="90">
        <f t="shared" si="6"/>
        <v>98513.957824857382</v>
      </c>
      <c r="F35" s="90">
        <f t="shared" si="7"/>
        <v>99889.15742699735</v>
      </c>
      <c r="G35" s="90">
        <f t="shared" si="8"/>
        <v>101283.57327846868</v>
      </c>
      <c r="H35" s="90">
        <f t="shared" si="9"/>
        <v>102697.47416489084</v>
      </c>
      <c r="I35" s="90">
        <f t="shared" si="10"/>
        <v>104131.13263524249</v>
      </c>
      <c r="J35" s="90">
        <f t="shared" si="11"/>
        <v>105584.82505460805</v>
      </c>
      <c r="K35" s="90">
        <f t="shared" si="12"/>
        <v>107058.83165771188</v>
      </c>
      <c r="L35" s="90">
        <f t="shared" si="1"/>
        <v>98513.957824857382</v>
      </c>
      <c r="M35" s="89" t="s">
        <v>972</v>
      </c>
      <c r="N35" s="89">
        <f>1270-$AD$19</f>
        <v>1012</v>
      </c>
      <c r="O35" s="89">
        <v>20</v>
      </c>
      <c r="P35" s="89">
        <f>$AI$2</f>
        <v>0.54</v>
      </c>
      <c r="Q35" s="89">
        <v>6</v>
      </c>
      <c r="R35" s="89">
        <f t="shared" si="2"/>
        <v>33.180327868852459</v>
      </c>
      <c r="S35" s="90">
        <v>100000</v>
      </c>
      <c r="T35" s="90">
        <v>100000</v>
      </c>
      <c r="U35" s="90">
        <f t="shared" si="3"/>
        <v>171484.53075500517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973</v>
      </c>
      <c r="B36" s="86">
        <f t="shared" si="14"/>
        <v>99079.811250926767</v>
      </c>
      <c r="C36" s="86">
        <f t="shared" si="16"/>
        <v>100127.64388689422</v>
      </c>
      <c r="D36" s="86">
        <f t="shared" si="5"/>
        <v>100259.40787033676</v>
      </c>
      <c r="E36" s="86">
        <f t="shared" si="6"/>
        <v>100391.34705853397</v>
      </c>
      <c r="F36" s="86">
        <f t="shared" si="7"/>
        <v>100523.46168685949</v>
      </c>
      <c r="G36" s="86">
        <f t="shared" si="8"/>
        <v>100655.75199100233</v>
      </c>
      <c r="H36" s="86">
        <f t="shared" si="9"/>
        <v>100788.21820697647</v>
      </c>
      <c r="I36" s="86">
        <f t="shared" si="10"/>
        <v>100920.86057111368</v>
      </c>
      <c r="J36" s="86">
        <f t="shared" si="11"/>
        <v>101053.67932006613</v>
      </c>
      <c r="K36" s="86">
        <f t="shared" si="12"/>
        <v>101186.67469080798</v>
      </c>
      <c r="L36" s="86">
        <f t="shared" si="1"/>
        <v>100391.34705853397</v>
      </c>
      <c r="M36" s="146" t="s">
        <v>974</v>
      </c>
      <c r="N36" s="146">
        <f>354-$AD$19</f>
        <v>96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3.1475409836065573</v>
      </c>
      <c r="S36" s="86">
        <v>100000</v>
      </c>
      <c r="T36" s="86">
        <v>103000</v>
      </c>
      <c r="U36" s="86">
        <f t="shared" si="3"/>
        <v>105811.2256387013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7" t="s">
        <v>995</v>
      </c>
      <c r="B37" s="188">
        <f t="shared" si="14"/>
        <v>94492.054919304806</v>
      </c>
      <c r="C37" s="188">
        <f t="shared" si="16"/>
        <v>100000</v>
      </c>
      <c r="D37" s="188">
        <f t="shared" si="5"/>
        <v>100710.73786634975</v>
      </c>
      <c r="E37" s="188">
        <f t="shared" si="6"/>
        <v>101426.53705614226</v>
      </c>
      <c r="F37" s="188">
        <f t="shared" si="7"/>
        <v>102147.43368228078</v>
      </c>
      <c r="G37" s="188">
        <f t="shared" si="8"/>
        <v>102873.46411580827</v>
      </c>
      <c r="H37" s="188">
        <f t="shared" si="9"/>
        <v>103604.66498782684</v>
      </c>
      <c r="I37" s="188">
        <f t="shared" si="10"/>
        <v>104341.07319128426</v>
      </c>
      <c r="J37" s="188">
        <f t="shared" si="11"/>
        <v>105082.72588289958</v>
      </c>
      <c r="K37" s="188">
        <f t="shared" si="12"/>
        <v>105829.66048502472</v>
      </c>
      <c r="L37" s="188">
        <f t="shared" si="1"/>
        <v>101426.53705614226</v>
      </c>
      <c r="M37" s="187" t="s">
        <v>996</v>
      </c>
      <c r="N37" s="187">
        <f>775-$AD$19</f>
        <v>517</v>
      </c>
      <c r="O37" s="187">
        <v>21</v>
      </c>
      <c r="P37" s="187">
        <v>0</v>
      </c>
      <c r="Q37" s="187">
        <v>1</v>
      </c>
      <c r="R37" s="187">
        <f t="shared" si="2"/>
        <v>16.950819672131146</v>
      </c>
      <c r="S37" s="188">
        <v>100000</v>
      </c>
      <c r="T37" s="188">
        <v>104000</v>
      </c>
      <c r="U37" s="188">
        <f t="shared" si="3"/>
        <v>134626.48014818403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1044</v>
      </c>
      <c r="B38" s="88">
        <f t="shared" si="14"/>
        <v>77800.42923926728</v>
      </c>
      <c r="C38" s="88">
        <f t="shared" si="16"/>
        <v>87506.661683618819</v>
      </c>
      <c r="D38" s="88">
        <f t="shared" si="5"/>
        <v>88802.235722855723</v>
      </c>
      <c r="E38" s="88">
        <f t="shared" si="6"/>
        <v>90117.009438225054</v>
      </c>
      <c r="F38" s="88">
        <f t="shared" si="7"/>
        <v>91451.267626892921</v>
      </c>
      <c r="G38" s="88">
        <f t="shared" si="8"/>
        <v>92805.299314607139</v>
      </c>
      <c r="H38" s="88">
        <f t="shared" si="9"/>
        <v>94179.397818478858</v>
      </c>
      <c r="I38" s="88">
        <f t="shared" si="10"/>
        <v>95573.860810634258</v>
      </c>
      <c r="J38" s="88">
        <f t="shared" si="11"/>
        <v>96988.990383207973</v>
      </c>
      <c r="K38" s="88">
        <f t="shared" si="12"/>
        <v>98425.093113750365</v>
      </c>
      <c r="L38" s="88">
        <f t="shared" si="1"/>
        <v>90117.009438225054</v>
      </c>
      <c r="M38" s="87" t="s">
        <v>1045</v>
      </c>
      <c r="N38" s="87">
        <f>1331-$AD$19</f>
        <v>1073</v>
      </c>
      <c r="O38" s="87">
        <v>17</v>
      </c>
      <c r="P38" s="87">
        <f>AI2</f>
        <v>0.54</v>
      </c>
      <c r="Q38" s="87">
        <v>6</v>
      </c>
      <c r="R38" s="87">
        <f t="shared" si="2"/>
        <v>35.180327868852459</v>
      </c>
      <c r="S38" s="88">
        <v>100000</v>
      </c>
      <c r="T38" s="88"/>
      <c r="U38" s="88">
        <f t="shared" si="3"/>
        <v>162199.47115531887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4038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1105</v>
      </c>
      <c r="E50">
        <v>7.2499999999999995E-2</v>
      </c>
      <c r="AD50" s="25"/>
      <c r="AE50" s="26"/>
    </row>
    <row r="51" spans="1:31">
      <c r="D51" t="s">
        <v>1106</v>
      </c>
      <c r="E51">
        <v>7.2499999999999995E-2</v>
      </c>
      <c r="AD51" s="25"/>
      <c r="AE51" s="26"/>
    </row>
    <row r="52" spans="1:31">
      <c r="D52" t="s">
        <v>1107</v>
      </c>
      <c r="E52">
        <v>0.125</v>
      </c>
      <c r="AD52" s="25"/>
      <c r="AE52" s="26"/>
    </row>
    <row r="53" spans="1:31">
      <c r="D53" t="s">
        <v>3786</v>
      </c>
      <c r="E53">
        <v>0.49</v>
      </c>
      <c r="AD53" s="25"/>
      <c r="AE53" s="26"/>
    </row>
    <row r="54" spans="1:31">
      <c r="D54" t="s">
        <v>3787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4224</v>
      </c>
      <c r="AD63" s="25"/>
      <c r="AE63" s="26"/>
    </row>
    <row r="64" spans="1:31">
      <c r="A64">
        <v>611</v>
      </c>
      <c r="B64" t="s">
        <v>4216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4217</v>
      </c>
      <c r="AD66" s="25"/>
      <c r="AE66" s="26"/>
    </row>
    <row r="67" spans="1:31">
      <c r="A67">
        <v>702</v>
      </c>
      <c r="B67" t="s">
        <v>4218</v>
      </c>
      <c r="AD67" s="25"/>
      <c r="AE67" s="26"/>
    </row>
    <row r="68" spans="1:31">
      <c r="A68">
        <v>704</v>
      </c>
      <c r="B68" t="s">
        <v>4219</v>
      </c>
      <c r="AD68" s="25"/>
      <c r="AE68" s="26"/>
    </row>
    <row r="69" spans="1:31">
      <c r="A69">
        <v>705</v>
      </c>
      <c r="B69" t="s">
        <v>4220</v>
      </c>
      <c r="AD69" s="25"/>
      <c r="AE69" s="26"/>
    </row>
    <row r="70" spans="1:31">
      <c r="A70">
        <v>706</v>
      </c>
      <c r="B70" t="s">
        <v>4221</v>
      </c>
      <c r="AD70" s="25"/>
      <c r="AE70" s="26"/>
    </row>
    <row r="71" spans="1:31">
      <c r="A71" s="25">
        <v>711</v>
      </c>
      <c r="B71" s="25" t="s">
        <v>4222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4223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1057</v>
      </c>
    </row>
    <row r="2" spans="1:1">
      <c r="A2" t="s">
        <v>1058</v>
      </c>
    </row>
    <row r="3" spans="1:1">
      <c r="A3" t="s">
        <v>1059</v>
      </c>
    </row>
    <row r="4" spans="1:1">
      <c r="A4" t="s">
        <v>1060</v>
      </c>
    </row>
    <row r="5" spans="1:1">
      <c r="A5" t="s">
        <v>1061</v>
      </c>
    </row>
    <row r="6" spans="1:1">
      <c r="A6" t="s">
        <v>1088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6" sqref="B6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1112</v>
      </c>
      <c r="B1" s="99">
        <v>24</v>
      </c>
      <c r="C1" s="99"/>
      <c r="D1" s="99"/>
      <c r="F1" s="99" t="s">
        <v>1242</v>
      </c>
      <c r="G1" s="99" t="s">
        <v>1243</v>
      </c>
      <c r="I1" s="99" t="s">
        <v>1164</v>
      </c>
      <c r="J1" s="99"/>
      <c r="U1" s="96"/>
      <c r="V1" s="96"/>
      <c r="W1" s="96"/>
      <c r="X1" s="96"/>
      <c r="Y1" s="96"/>
      <c r="Z1" s="96"/>
    </row>
    <row r="2" spans="1:35">
      <c r="A2" s="99" t="s">
        <v>1111</v>
      </c>
      <c r="B2" s="99">
        <v>21.6</v>
      </c>
      <c r="C2" s="99"/>
      <c r="D2" s="99"/>
      <c r="F2" s="132">
        <v>-0.1</v>
      </c>
      <c r="G2" s="132">
        <v>-0.44</v>
      </c>
      <c r="I2" s="99" t="s">
        <v>3959</v>
      </c>
      <c r="J2" s="99" t="s">
        <v>3687</v>
      </c>
      <c r="L2" s="99" t="s">
        <v>3696</v>
      </c>
      <c r="M2" s="99"/>
      <c r="U2" s="96"/>
      <c r="V2" s="96"/>
      <c r="W2" s="96"/>
      <c r="X2" s="96"/>
      <c r="Y2" s="96"/>
      <c r="Z2" s="96"/>
    </row>
    <row r="3" spans="1:35">
      <c r="A3" s="99" t="s">
        <v>1113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1135</v>
      </c>
      <c r="J3" s="99" t="s">
        <v>3688</v>
      </c>
      <c r="L3" s="99" t="s">
        <v>3697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1114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3683</v>
      </c>
      <c r="J4" s="99" t="s">
        <v>3684</v>
      </c>
      <c r="L4" s="99" t="s">
        <v>3703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1115</v>
      </c>
      <c r="B5" s="99">
        <v>1248</v>
      </c>
      <c r="C5" s="99"/>
      <c r="D5" s="99"/>
      <c r="F5" s="132">
        <v>0.2</v>
      </c>
      <c r="G5" s="132">
        <v>0.46</v>
      </c>
      <c r="I5" s="99"/>
      <c r="J5" s="99"/>
      <c r="L5" s="99" t="s">
        <v>3707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1116</v>
      </c>
      <c r="B6" s="99">
        <v>11800</v>
      </c>
      <c r="C6" s="99"/>
      <c r="D6" s="99"/>
      <c r="F6" s="132">
        <v>0.25</v>
      </c>
      <c r="G6" s="132">
        <v>0.61</v>
      </c>
      <c r="I6" s="99"/>
      <c r="J6" s="99"/>
      <c r="L6" s="99" t="s">
        <v>3710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1118</v>
      </c>
      <c r="B7" s="99">
        <v>5000</v>
      </c>
      <c r="C7" s="99"/>
      <c r="D7" s="99"/>
      <c r="F7" s="132">
        <v>0.5</v>
      </c>
      <c r="G7" s="132">
        <v>1.36</v>
      </c>
      <c r="I7" s="99" t="s">
        <v>3685</v>
      </c>
      <c r="J7" s="99" t="s">
        <v>3678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4259</v>
      </c>
      <c r="B8" s="95">
        <f>B2*B4*B5*B6/(B1*B3)+B7</f>
        <v>3471007.3980707391</v>
      </c>
      <c r="C8" s="99">
        <f>B2*B4*B5/(B1*B3)+B7/B6</f>
        <v>294.15316932802875</v>
      </c>
      <c r="D8" s="99" t="s">
        <v>4262</v>
      </c>
      <c r="I8" s="99" t="s">
        <v>3883</v>
      </c>
      <c r="J8" s="99" t="s">
        <v>3679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4260</v>
      </c>
      <c r="B9" s="95">
        <v>3850000</v>
      </c>
      <c r="C9" s="99"/>
      <c r="D9" s="99"/>
      <c r="I9" s="99" t="s">
        <v>3689</v>
      </c>
      <c r="J9" s="99" t="s">
        <v>3690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4261</v>
      </c>
      <c r="B10" s="95">
        <f>B9-B8</f>
        <v>378992.60192926088</v>
      </c>
      <c r="C10" s="99"/>
      <c r="D10" s="99"/>
      <c r="I10" s="59">
        <v>35679</v>
      </c>
      <c r="J10" s="69" t="s">
        <v>3721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4168</v>
      </c>
      <c r="J11" s="69" t="s">
        <v>4167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3691</v>
      </c>
      <c r="J13" s="99" t="s">
        <v>3692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3884</v>
      </c>
      <c r="J14" s="99" t="s">
        <v>3682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3693</v>
      </c>
      <c r="J16" s="99" t="s">
        <v>3694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3686</v>
      </c>
      <c r="J17" s="99" t="s">
        <v>3695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3722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212" t="s">
        <v>1089</v>
      </c>
      <c r="R21" s="212"/>
      <c r="S21" s="212"/>
      <c r="T21" s="212"/>
      <c r="U21" s="96"/>
      <c r="V21" s="96"/>
      <c r="W21" s="96"/>
      <c r="X21" s="96"/>
      <c r="Y21" s="96"/>
      <c r="Z21" s="96"/>
    </row>
    <row r="22" spans="5:35">
      <c r="O22" s="99"/>
      <c r="P22" s="99"/>
      <c r="Q22" s="212"/>
      <c r="R22" s="212"/>
      <c r="S22" s="212"/>
      <c r="T22" s="212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4089</v>
      </c>
      <c r="Q23" s="213" t="s">
        <v>1090</v>
      </c>
      <c r="R23" s="214" t="s">
        <v>1091</v>
      </c>
      <c r="S23" s="213" t="s">
        <v>1092</v>
      </c>
      <c r="T23" s="215" t="s">
        <v>1093</v>
      </c>
      <c r="AD23" t="s">
        <v>25</v>
      </c>
    </row>
    <row r="24" spans="5:35">
      <c r="O24" s="99"/>
      <c r="P24" s="99"/>
      <c r="Q24" s="213"/>
      <c r="R24" s="214"/>
      <c r="S24" s="213"/>
      <c r="T24" s="215"/>
    </row>
    <row r="25" spans="5:35">
      <c r="O25" s="174" t="s">
        <v>4145</v>
      </c>
      <c r="P25" s="174">
        <v>2182188507</v>
      </c>
      <c r="Q25" s="175" t="s">
        <v>1094</v>
      </c>
      <c r="R25" s="175" t="s">
        <v>4090</v>
      </c>
      <c r="S25" s="175" t="s">
        <v>4095</v>
      </c>
      <c r="T25" s="175" t="s">
        <v>1095</v>
      </c>
    </row>
    <row r="26" spans="5:35">
      <c r="O26" s="174"/>
      <c r="P26" s="174">
        <v>2123095122</v>
      </c>
      <c r="Q26" s="176" t="s">
        <v>1096</v>
      </c>
      <c r="R26" s="176" t="s">
        <v>1097</v>
      </c>
      <c r="S26" s="176" t="s">
        <v>1098</v>
      </c>
      <c r="T26" s="176" t="s">
        <v>1099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4206</v>
      </c>
      <c r="P27" s="174">
        <v>2188831909</v>
      </c>
      <c r="Q27" s="99" t="s">
        <v>4092</v>
      </c>
      <c r="R27" s="99" t="s">
        <v>4093</v>
      </c>
      <c r="S27" s="99" t="s">
        <v>4094</v>
      </c>
      <c r="T27" s="177" t="s">
        <v>4096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4082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3880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3856</v>
      </c>
      <c r="B90" s="99" t="s">
        <v>3879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3857</v>
      </c>
      <c r="B91" s="89">
        <f>116-'اوراق بدون ریسک'!$AD$19</f>
        <v>-142</v>
      </c>
      <c r="C91" s="142">
        <f>$B$89/(1+(C$90/36500))^$B91</f>
        <v>3217557.1564527904</v>
      </c>
      <c r="D91" s="142">
        <f>$B$89/(1+(D$90/36500))^$B91</f>
        <v>3230092.7909802683</v>
      </c>
      <c r="E91" s="142">
        <f t="shared" ref="E91:K106" si="0">$B$89/(1+(E$90/36500))^$B91</f>
        <v>3242676.9191975724</v>
      </c>
      <c r="F91" s="142">
        <f t="shared" si="0"/>
        <v>3255309.727365376</v>
      </c>
      <c r="G91" s="142">
        <f t="shared" si="0"/>
        <v>3267991.4024544512</v>
      </c>
      <c r="H91" s="142">
        <f t="shared" si="0"/>
        <v>3280722.132148996</v>
      </c>
      <c r="I91" s="142">
        <f t="shared" si="0"/>
        <v>3293502.1048485124</v>
      </c>
      <c r="J91" s="142">
        <f t="shared" si="0"/>
        <v>3306331.5096708997</v>
      </c>
      <c r="K91" s="142">
        <f>$B$89/(1+(K$90/36500))^$B91</f>
        <v>3319210.5364552746</v>
      </c>
      <c r="L91" s="142">
        <f>$B$89/(1+(L$90/36500))^$B91</f>
        <v>3332139.3757645991</v>
      </c>
    </row>
    <row r="92" spans="1:12">
      <c r="A92" s="143" t="s">
        <v>3858</v>
      </c>
      <c r="B92" s="91">
        <f>120-'اوراق بدون ریسک'!$AD$19</f>
        <v>-138</v>
      </c>
      <c r="C92" s="144">
        <f t="shared" ref="C92:K112" si="1">$B$89/(1+(C$90/36500))^$B92</f>
        <v>3211218.0117012928</v>
      </c>
      <c r="D92" s="144">
        <f t="shared" si="1"/>
        <v>3223375.8618033165</v>
      </c>
      <c r="E92" s="144">
        <f t="shared" si="0"/>
        <v>3235579.4073963067</v>
      </c>
      <c r="F92" s="144">
        <f t="shared" si="0"/>
        <v>3247828.8189692604</v>
      </c>
      <c r="G92" s="144">
        <f t="shared" si="0"/>
        <v>3260124.2676423932</v>
      </c>
      <c r="H92" s="144">
        <f t="shared" si="0"/>
        <v>3272465.9251700793</v>
      </c>
      <c r="I92" s="144">
        <f t="shared" si="0"/>
        <v>3284853.9639423825</v>
      </c>
      <c r="J92" s="144">
        <f t="shared" si="0"/>
        <v>3297288.5569877676</v>
      </c>
      <c r="K92" s="144">
        <f t="shared" si="0"/>
        <v>3309769.8779755398</v>
      </c>
      <c r="L92" s="144">
        <f t="shared" ref="L92:L112" si="2">$B$89/(1+(L$90/36500))^$B92</f>
        <v>3322298.1012181118</v>
      </c>
    </row>
    <row r="93" spans="1:12">
      <c r="A93" s="145" t="s">
        <v>3859</v>
      </c>
      <c r="B93" s="146">
        <f>137-'اوراق بدون ریسک'!$AD$19</f>
        <v>-121</v>
      </c>
      <c r="C93" s="147">
        <f t="shared" si="1"/>
        <v>3184415.6822321652</v>
      </c>
      <c r="D93" s="147">
        <f t="shared" si="1"/>
        <v>3194984.3899087701</v>
      </c>
      <c r="E93" s="147">
        <f t="shared" si="0"/>
        <v>3205587.883064114</v>
      </c>
      <c r="F93" s="147">
        <f t="shared" si="0"/>
        <v>3216226.2752327109</v>
      </c>
      <c r="G93" s="147">
        <f t="shared" si="0"/>
        <v>3226899.680316363</v>
      </c>
      <c r="H93" s="147">
        <f t="shared" si="0"/>
        <v>3237608.2125858543</v>
      </c>
      <c r="I93" s="147">
        <f t="shared" si="0"/>
        <v>3248351.9866814702</v>
      </c>
      <c r="J93" s="147">
        <f t="shared" si="0"/>
        <v>3259131.1176144872</v>
      </c>
      <c r="K93" s="147">
        <f t="shared" si="0"/>
        <v>3269945.7207684522</v>
      </c>
      <c r="L93" s="147">
        <f t="shared" si="2"/>
        <v>3280795.9119002968</v>
      </c>
    </row>
    <row r="94" spans="1:12">
      <c r="A94" s="148" t="s">
        <v>3860</v>
      </c>
      <c r="B94" s="149">
        <f>116-'اوراق بدون ریسک'!$AD$19</f>
        <v>-142</v>
      </c>
      <c r="C94" s="150">
        <f t="shared" si="1"/>
        <v>3217557.1564527904</v>
      </c>
      <c r="D94" s="150">
        <f t="shared" si="1"/>
        <v>3230092.7909802683</v>
      </c>
      <c r="E94" s="150">
        <f t="shared" si="0"/>
        <v>3242676.9191975724</v>
      </c>
      <c r="F94" s="150">
        <f t="shared" si="0"/>
        <v>3255309.727365376</v>
      </c>
      <c r="G94" s="150">
        <f t="shared" si="0"/>
        <v>3267991.4024544512</v>
      </c>
      <c r="H94" s="150">
        <f t="shared" si="0"/>
        <v>3280722.132148996</v>
      </c>
      <c r="I94" s="150">
        <f t="shared" si="0"/>
        <v>3293502.1048485124</v>
      </c>
      <c r="J94" s="150">
        <f t="shared" si="0"/>
        <v>3306331.5096708997</v>
      </c>
      <c r="K94" s="150">
        <f t="shared" si="0"/>
        <v>3319210.5364552746</v>
      </c>
      <c r="L94" s="150">
        <f t="shared" si="2"/>
        <v>3332139.3757645991</v>
      </c>
    </row>
    <row r="95" spans="1:12">
      <c r="A95" s="151" t="s">
        <v>3861</v>
      </c>
      <c r="B95" s="152">
        <f>167-'اوراق بدون ریسک'!$AD$19</f>
        <v>-91</v>
      </c>
      <c r="C95" s="153">
        <f t="shared" si="1"/>
        <v>3137662.0080064135</v>
      </c>
      <c r="D95" s="153">
        <f t="shared" si="1"/>
        <v>3145490.4590472835</v>
      </c>
      <c r="E95" s="153">
        <f t="shared" si="0"/>
        <v>3153338.2268681377</v>
      </c>
      <c r="F95" s="153">
        <f t="shared" si="0"/>
        <v>3161205.3586024311</v>
      </c>
      <c r="G95" s="153">
        <f t="shared" si="0"/>
        <v>3169091.9014972127</v>
      </c>
      <c r="H95" s="153">
        <f t="shared" si="0"/>
        <v>3176997.9029137958</v>
      </c>
      <c r="I95" s="153">
        <f t="shared" si="0"/>
        <v>3184923.4103275235</v>
      </c>
      <c r="J95" s="153">
        <f t="shared" si="0"/>
        <v>3192868.4713282729</v>
      </c>
      <c r="K95" s="153">
        <f t="shared" si="0"/>
        <v>3200833.133620793</v>
      </c>
      <c r="L95" s="153">
        <f t="shared" si="2"/>
        <v>3208817.4450249169</v>
      </c>
    </row>
    <row r="96" spans="1:12">
      <c r="A96" s="156" t="s">
        <v>3862</v>
      </c>
      <c r="B96" s="23">
        <f>181-'اوراق بدون ریسک'!$AD$19</f>
        <v>-77</v>
      </c>
      <c r="C96" s="157">
        <f t="shared" si="1"/>
        <v>3116079.1579030892</v>
      </c>
      <c r="D96" s="157">
        <f t="shared" si="1"/>
        <v>3122656.4058796666</v>
      </c>
      <c r="E96" s="157">
        <f t="shared" si="0"/>
        <v>3129247.3560755816</v>
      </c>
      <c r="F96" s="157">
        <f t="shared" si="0"/>
        <v>3135852.036659963</v>
      </c>
      <c r="G96" s="157">
        <f t="shared" si="0"/>
        <v>3142470.4758589836</v>
      </c>
      <c r="H96" s="157">
        <f t="shared" si="0"/>
        <v>3149102.7019563015</v>
      </c>
      <c r="I96" s="157">
        <f t="shared" si="0"/>
        <v>3155748.7432927461</v>
      </c>
      <c r="J96" s="157">
        <f t="shared" si="0"/>
        <v>3162408.6282666423</v>
      </c>
      <c r="K96" s="157">
        <f t="shared" si="0"/>
        <v>3169082.3853339623</v>
      </c>
      <c r="L96" s="157">
        <f t="shared" si="2"/>
        <v>3175770.0430084015</v>
      </c>
    </row>
    <row r="97" spans="1:12">
      <c r="A97" s="158" t="s">
        <v>3863</v>
      </c>
      <c r="B97" s="87">
        <f>197-'اوراق بدون ریسک'!$AD$19</f>
        <v>-61</v>
      </c>
      <c r="C97" s="140">
        <f t="shared" si="1"/>
        <v>3091594.7724468824</v>
      </c>
      <c r="D97" s="140">
        <f t="shared" si="1"/>
        <v>3096763.24529398</v>
      </c>
      <c r="E97" s="140">
        <f t="shared" si="0"/>
        <v>3101940.2168201357</v>
      </c>
      <c r="F97" s="140">
        <f t="shared" si="0"/>
        <v>3107125.7007667026</v>
      </c>
      <c r="G97" s="140">
        <f t="shared" si="0"/>
        <v>3112319.7108968063</v>
      </c>
      <c r="H97" s="140">
        <f t="shared" si="0"/>
        <v>3117522.2609956255</v>
      </c>
      <c r="I97" s="140">
        <f t="shared" si="0"/>
        <v>3122733.3648700994</v>
      </c>
      <c r="J97" s="140">
        <f t="shared" si="0"/>
        <v>3127953.036349121</v>
      </c>
      <c r="K97" s="140">
        <f t="shared" si="0"/>
        <v>3133181.2892836044</v>
      </c>
      <c r="L97" s="140">
        <f t="shared" si="2"/>
        <v>3138418.1375464816</v>
      </c>
    </row>
    <row r="98" spans="1:12">
      <c r="A98" s="159" t="s">
        <v>3864</v>
      </c>
      <c r="B98" s="23">
        <f>214-'اوراق بدون ریسک'!$AD$19</f>
        <v>-44</v>
      </c>
      <c r="C98" s="106">
        <f t="shared" si="1"/>
        <v>3065790.8745569815</v>
      </c>
      <c r="D98" s="106">
        <f t="shared" si="1"/>
        <v>3069486.9764341512</v>
      </c>
      <c r="E98" s="106">
        <f t="shared" si="0"/>
        <v>3073187.4329208727</v>
      </c>
      <c r="F98" s="106">
        <f t="shared" si="0"/>
        <v>3076892.249028136</v>
      </c>
      <c r="G98" s="106">
        <f t="shared" si="0"/>
        <v>3080601.4297725107</v>
      </c>
      <c r="H98" s="106">
        <f t="shared" si="0"/>
        <v>3084314.9801763268</v>
      </c>
      <c r="I98" s="106">
        <f t="shared" si="0"/>
        <v>3088032.9052674524</v>
      </c>
      <c r="J98" s="106">
        <f t="shared" si="0"/>
        <v>3091755.2100794073</v>
      </c>
      <c r="K98" s="106">
        <f t="shared" si="0"/>
        <v>3095481.8996513993</v>
      </c>
      <c r="L98" s="106">
        <f t="shared" si="2"/>
        <v>3099212.9790282971</v>
      </c>
    </row>
    <row r="99" spans="1:12">
      <c r="A99" s="160" t="s">
        <v>3865</v>
      </c>
      <c r="B99" s="161">
        <f>272-'اوراق بدون ریسک'!$AD$19</f>
        <v>14</v>
      </c>
      <c r="C99" s="162">
        <f t="shared" si="1"/>
        <v>2979364.0774102653</v>
      </c>
      <c r="D99" s="162">
        <f t="shared" si="1"/>
        <v>2978222.1054570926</v>
      </c>
      <c r="E99" s="162">
        <f t="shared" si="0"/>
        <v>2977080.6024669758</v>
      </c>
      <c r="F99" s="162">
        <f t="shared" si="0"/>
        <v>2975939.5682344954</v>
      </c>
      <c r="G99" s="162">
        <f t="shared" si="0"/>
        <v>2974799.0025543422</v>
      </c>
      <c r="H99" s="162">
        <f t="shared" si="0"/>
        <v>2973658.9052212676</v>
      </c>
      <c r="I99" s="162">
        <f t="shared" si="0"/>
        <v>2972519.2760301479</v>
      </c>
      <c r="J99" s="162">
        <f t="shared" si="0"/>
        <v>2971380.1147759538</v>
      </c>
      <c r="K99" s="162">
        <f t="shared" si="0"/>
        <v>2970241.4212537399</v>
      </c>
      <c r="L99" s="162">
        <f t="shared" si="2"/>
        <v>2969103.1952586579</v>
      </c>
    </row>
    <row r="100" spans="1:12">
      <c r="A100" s="145" t="s">
        <v>3866</v>
      </c>
      <c r="B100" s="146">
        <f>302-'اوراق بدون ریسک'!$AD$19</f>
        <v>44</v>
      </c>
      <c r="C100" s="147">
        <f t="shared" si="1"/>
        <v>2935620.9762026034</v>
      </c>
      <c r="D100" s="147">
        <f t="shared" si="1"/>
        <v>2932086.0681596296</v>
      </c>
      <c r="E100" s="147">
        <f t="shared" si="0"/>
        <v>2928555.5132724405</v>
      </c>
      <c r="F100" s="147">
        <f t="shared" si="0"/>
        <v>2925029.3060612478</v>
      </c>
      <c r="G100" s="147">
        <f t="shared" si="0"/>
        <v>2921507.4410533565</v>
      </c>
      <c r="H100" s="147">
        <f t="shared" si="0"/>
        <v>2917989.9127829936</v>
      </c>
      <c r="I100" s="147">
        <f t="shared" si="0"/>
        <v>2914476.71579151</v>
      </c>
      <c r="J100" s="147">
        <f t="shared" si="0"/>
        <v>2910967.8446272747</v>
      </c>
      <c r="K100" s="147">
        <f t="shared" si="0"/>
        <v>2907463.2938456344</v>
      </c>
      <c r="L100" s="147">
        <f t="shared" si="2"/>
        <v>2903963.0580089367</v>
      </c>
    </row>
    <row r="101" spans="1:12">
      <c r="A101" s="148" t="s">
        <v>3867</v>
      </c>
      <c r="B101" s="149">
        <f>319-'اوراق بدون ریسک'!$AD$19</f>
        <v>61</v>
      </c>
      <c r="C101" s="150">
        <f t="shared" si="1"/>
        <v>2911118.9086650042</v>
      </c>
      <c r="D101" s="150">
        <f t="shared" si="1"/>
        <v>2906260.2747164862</v>
      </c>
      <c r="E101" s="150">
        <f t="shared" si="0"/>
        <v>2901409.8824980226</v>
      </c>
      <c r="F101" s="150">
        <f t="shared" si="0"/>
        <v>2896567.7178040124</v>
      </c>
      <c r="G101" s="150">
        <f t="shared" si="0"/>
        <v>2891733.7664537923</v>
      </c>
      <c r="H101" s="150">
        <f t="shared" si="0"/>
        <v>2886908.0142913628</v>
      </c>
      <c r="I101" s="150">
        <f t="shared" si="0"/>
        <v>2882090.4471856453</v>
      </c>
      <c r="J101" s="150">
        <f t="shared" si="0"/>
        <v>2877281.0510302945</v>
      </c>
      <c r="K101" s="150">
        <f t="shared" si="0"/>
        <v>2872479.8117436199</v>
      </c>
      <c r="L101" s="150">
        <f t="shared" si="2"/>
        <v>2867686.7152685788</v>
      </c>
    </row>
    <row r="102" spans="1:12">
      <c r="A102" s="145" t="s">
        <v>3868</v>
      </c>
      <c r="B102" s="146">
        <f>334-'اوراق بدون ریسک'!$AD$19</f>
        <v>76</v>
      </c>
      <c r="C102" s="147">
        <f t="shared" si="1"/>
        <v>2889669.3247753568</v>
      </c>
      <c r="D102" s="147">
        <f t="shared" si="1"/>
        <v>2883661.7805762677</v>
      </c>
      <c r="E102" s="147">
        <f t="shared" si="0"/>
        <v>2877666.8898883355</v>
      </c>
      <c r="F102" s="147">
        <f t="shared" si="0"/>
        <v>2871684.6257144567</v>
      </c>
      <c r="G102" s="147">
        <f t="shared" si="0"/>
        <v>2865714.9611159493</v>
      </c>
      <c r="H102" s="147">
        <f t="shared" si="0"/>
        <v>2859757.8692121301</v>
      </c>
      <c r="I102" s="147">
        <f t="shared" si="0"/>
        <v>2853813.3231805689</v>
      </c>
      <c r="J102" s="147">
        <f t="shared" si="0"/>
        <v>2847881.2962567843</v>
      </c>
      <c r="K102" s="147">
        <f t="shared" si="0"/>
        <v>2841961.7617340675</v>
      </c>
      <c r="L102" s="147">
        <f t="shared" si="2"/>
        <v>2836054.692963406</v>
      </c>
    </row>
    <row r="103" spans="1:12">
      <c r="A103" s="148" t="s">
        <v>3869</v>
      </c>
      <c r="B103" s="149">
        <f>349-'اوراق بدون ریسک'!$AD$19</f>
        <v>91</v>
      </c>
      <c r="C103" s="150">
        <f t="shared" si="1"/>
        <v>2868377.7848074716</v>
      </c>
      <c r="D103" s="150">
        <f t="shared" si="1"/>
        <v>2861239.007771764</v>
      </c>
      <c r="E103" s="150">
        <f t="shared" si="0"/>
        <v>2854118.1923699649</v>
      </c>
      <c r="F103" s="150">
        <f t="shared" si="0"/>
        <v>2847015.2929194388</v>
      </c>
      <c r="G103" s="150">
        <f t="shared" si="0"/>
        <v>2839930.2638550876</v>
      </c>
      <c r="H103" s="150">
        <f t="shared" si="0"/>
        <v>2832863.0597286876</v>
      </c>
      <c r="I103" s="150">
        <f t="shared" si="0"/>
        <v>2825813.6352090426</v>
      </c>
      <c r="J103" s="150">
        <f t="shared" si="0"/>
        <v>2818781.9450814673</v>
      </c>
      <c r="K103" s="150">
        <f t="shared" si="0"/>
        <v>2811767.9442474311</v>
      </c>
      <c r="L103" s="150">
        <f t="shared" si="2"/>
        <v>2804771.5877243099</v>
      </c>
    </row>
    <row r="104" spans="1:12">
      <c r="A104" s="160" t="s">
        <v>3870</v>
      </c>
      <c r="B104" s="161">
        <f>361-'اوراق بدون ریسک'!$AD$19</f>
        <v>103</v>
      </c>
      <c r="C104" s="162">
        <f t="shared" si="1"/>
        <v>2851457.5616290164</v>
      </c>
      <c r="D104" s="162">
        <f t="shared" si="1"/>
        <v>2843426.3903290988</v>
      </c>
      <c r="E104" s="162">
        <f t="shared" si="0"/>
        <v>2835418.0579249351</v>
      </c>
      <c r="F104" s="162">
        <f t="shared" si="0"/>
        <v>2827432.4988449803</v>
      </c>
      <c r="G104" s="162">
        <f t="shared" si="0"/>
        <v>2819469.6477078465</v>
      </c>
      <c r="H104" s="162">
        <f t="shared" si="0"/>
        <v>2811529.4393213592</v>
      </c>
      <c r="I104" s="162">
        <f t="shared" si="0"/>
        <v>2803611.8086825064</v>
      </c>
      <c r="J104" s="162">
        <f t="shared" si="0"/>
        <v>2795716.6909766505</v>
      </c>
      <c r="K104" s="162">
        <f t="shared" si="0"/>
        <v>2787844.0215769149</v>
      </c>
      <c r="L104" s="162">
        <f t="shared" si="2"/>
        <v>2779993.7360436968</v>
      </c>
    </row>
    <row r="105" spans="1:12">
      <c r="A105" s="154" t="s">
        <v>3871</v>
      </c>
      <c r="B105" s="93">
        <f>372-'اوراق بدون ریسک'!$AD$19</f>
        <v>114</v>
      </c>
      <c r="C105" s="155">
        <f t="shared" si="1"/>
        <v>2836035.0521084503</v>
      </c>
      <c r="D105" s="155">
        <f t="shared" si="1"/>
        <v>2827195.590342632</v>
      </c>
      <c r="E105" s="155">
        <f t="shared" si="0"/>
        <v>2818383.9206638448</v>
      </c>
      <c r="F105" s="155">
        <f t="shared" si="0"/>
        <v>2809599.9549337644</v>
      </c>
      <c r="G105" s="155">
        <f t="shared" si="0"/>
        <v>2800843.6052961093</v>
      </c>
      <c r="H105" s="155">
        <f t="shared" si="0"/>
        <v>2792114.7841752972</v>
      </c>
      <c r="I105" s="155">
        <f t="shared" si="0"/>
        <v>2783413.4042761032</v>
      </c>
      <c r="J105" s="155">
        <f t="shared" si="0"/>
        <v>2774739.3785824878</v>
      </c>
      <c r="K105" s="155">
        <f t="shared" si="0"/>
        <v>2766092.6203566357</v>
      </c>
      <c r="L105" s="155">
        <f t="shared" si="2"/>
        <v>2757473.0431381152</v>
      </c>
    </row>
    <row r="106" spans="1:12">
      <c r="A106" s="148" t="s">
        <v>3872</v>
      </c>
      <c r="B106" s="149">
        <f>391-'اوراق بدون ریسک'!$AD$19</f>
        <v>133</v>
      </c>
      <c r="C106" s="150">
        <f t="shared" si="1"/>
        <v>2809592.3872270635</v>
      </c>
      <c r="D106" s="150">
        <f t="shared" si="1"/>
        <v>2799378.4914983031</v>
      </c>
      <c r="E106" s="150">
        <f t="shared" si="0"/>
        <v>2789202.0051749391</v>
      </c>
      <c r="F106" s="150">
        <f t="shared" si="0"/>
        <v>2779062.7902225852</v>
      </c>
      <c r="G106" s="150">
        <f t="shared" si="0"/>
        <v>2768960.7091200748</v>
      </c>
      <c r="H106" s="150">
        <f t="shared" si="0"/>
        <v>2758895.6248570471</v>
      </c>
      <c r="I106" s="150">
        <f t="shared" si="0"/>
        <v>2748867.4009326808</v>
      </c>
      <c r="J106" s="150">
        <f t="shared" si="0"/>
        <v>2738875.9013534798</v>
      </c>
      <c r="K106" s="150">
        <f t="shared" si="0"/>
        <v>2728920.990631301</v>
      </c>
      <c r="L106" s="150">
        <f t="shared" si="2"/>
        <v>2719002.533781535</v>
      </c>
    </row>
    <row r="107" spans="1:12">
      <c r="A107" s="154" t="s">
        <v>3873</v>
      </c>
      <c r="B107" s="93">
        <f>407-'اوراق بدون ریسک'!$AD$19</f>
        <v>149</v>
      </c>
      <c r="C107" s="155">
        <f t="shared" si="1"/>
        <v>2787516.2012581616</v>
      </c>
      <c r="D107" s="155">
        <f t="shared" si="1"/>
        <v>2776165.9610758075</v>
      </c>
      <c r="E107" s="155">
        <f t="shared" si="1"/>
        <v>2764862.2458334467</v>
      </c>
      <c r="F107" s="155">
        <f t="shared" si="1"/>
        <v>2753604.8635579641</v>
      </c>
      <c r="G107" s="155">
        <f t="shared" si="1"/>
        <v>2742393.6230737497</v>
      </c>
      <c r="H107" s="155">
        <f t="shared" si="1"/>
        <v>2731228.333998817</v>
      </c>
      <c r="I107" s="155">
        <f t="shared" si="1"/>
        <v>2720108.806742202</v>
      </c>
      <c r="J107" s="155">
        <f t="shared" si="1"/>
        <v>2709034.8525003167</v>
      </c>
      <c r="K107" s="155">
        <f t="shared" si="1"/>
        <v>2698006.2832535785</v>
      </c>
      <c r="L107" s="155">
        <f t="shared" si="2"/>
        <v>2687022.9117632098</v>
      </c>
    </row>
    <row r="108" spans="1:12">
      <c r="A108" s="145" t="s">
        <v>3874</v>
      </c>
      <c r="B108" s="146">
        <f>573-'اوراق بدون ریسک'!$AD$19</f>
        <v>315</v>
      </c>
      <c r="C108" s="147">
        <f t="shared" si="1"/>
        <v>2568464.1517544319</v>
      </c>
      <c r="D108" s="147">
        <f t="shared" si="1"/>
        <v>2546404.4611402908</v>
      </c>
      <c r="E108" s="147">
        <f t="shared" si="1"/>
        <v>2524534.8302110536</v>
      </c>
      <c r="F108" s="147">
        <f t="shared" si="1"/>
        <v>2502853.6163322767</v>
      </c>
      <c r="G108" s="147">
        <f t="shared" si="1"/>
        <v>2481359.1911110641</v>
      </c>
      <c r="H108" s="147">
        <f t="shared" si="1"/>
        <v>2460049.9402711424</v>
      </c>
      <c r="I108" s="147">
        <f t="shared" si="1"/>
        <v>2438924.2635314753</v>
      </c>
      <c r="J108" s="147">
        <f t="shared" si="1"/>
        <v>2417980.5744839157</v>
      </c>
      <c r="K108" s="147">
        <f t="shared" si="1"/>
        <v>2397217.3004723964</v>
      </c>
      <c r="L108" s="147">
        <f t="shared" si="2"/>
        <v>2376632.8824735112</v>
      </c>
    </row>
    <row r="109" spans="1:12">
      <c r="A109" s="154" t="s">
        <v>3875</v>
      </c>
      <c r="B109" s="93">
        <f>579-'اوراق بدون ریسک'!$AD$19</f>
        <v>321</v>
      </c>
      <c r="C109" s="155">
        <f t="shared" si="1"/>
        <v>2560877.4129197043</v>
      </c>
      <c r="D109" s="155">
        <f t="shared" si="1"/>
        <v>2538465.7773826942</v>
      </c>
      <c r="E109" s="155">
        <f t="shared" si="1"/>
        <v>2516250.8839459661</v>
      </c>
      <c r="F109" s="155">
        <f t="shared" si="1"/>
        <v>2494231.000178867</v>
      </c>
      <c r="G109" s="155">
        <f t="shared" si="1"/>
        <v>2472404.4089529421</v>
      </c>
      <c r="H109" s="155">
        <f t="shared" si="1"/>
        <v>2450769.4083052794</v>
      </c>
      <c r="I109" s="155">
        <f t="shared" si="1"/>
        <v>2429324.3113055555</v>
      </c>
      <c r="J109" s="155">
        <f t="shared" si="1"/>
        <v>2408067.4459222043</v>
      </c>
      <c r="K109" s="155">
        <f t="shared" si="1"/>
        <v>2386997.1548902621</v>
      </c>
      <c r="L109" s="155">
        <f t="shared" si="2"/>
        <v>2366111.795580721</v>
      </c>
    </row>
    <row r="110" spans="1:12">
      <c r="A110" s="148" t="s">
        <v>3876</v>
      </c>
      <c r="B110" s="149">
        <f>753-'اوراق بدون ریسک'!$AD$19</f>
        <v>495</v>
      </c>
      <c r="C110" s="150">
        <f t="shared" si="1"/>
        <v>2350346.7518526386</v>
      </c>
      <c r="D110" s="150">
        <f t="shared" si="1"/>
        <v>2318703.2782809054</v>
      </c>
      <c r="E110" s="150">
        <f t="shared" si="1"/>
        <v>2287486.67999769</v>
      </c>
      <c r="F110" s="150">
        <f t="shared" si="1"/>
        <v>2256691.1869371859</v>
      </c>
      <c r="G110" s="150">
        <f t="shared" si="1"/>
        <v>2226311.1071826941</v>
      </c>
      <c r="H110" s="150">
        <f t="shared" si="1"/>
        <v>2196340.8259045873</v>
      </c>
      <c r="I110" s="150">
        <f t="shared" si="1"/>
        <v>2166774.8043161659</v>
      </c>
      <c r="J110" s="150">
        <f t="shared" si="1"/>
        <v>2137607.5786408512</v>
      </c>
      <c r="K110" s="150">
        <f t="shared" si="1"/>
        <v>2108833.7590941023</v>
      </c>
      <c r="L110" s="150">
        <f t="shared" si="2"/>
        <v>2080448.028879639</v>
      </c>
    </row>
    <row r="111" spans="1:12">
      <c r="A111" s="160" t="s">
        <v>3877</v>
      </c>
      <c r="B111" s="161">
        <f>757-'اوراق بدون ریسک'!$AD$19</f>
        <v>499</v>
      </c>
      <c r="C111" s="162">
        <f t="shared" si="1"/>
        <v>2345716.1617646492</v>
      </c>
      <c r="D111" s="162">
        <f t="shared" si="1"/>
        <v>2313881.5698315171</v>
      </c>
      <c r="E111" s="162">
        <f t="shared" si="1"/>
        <v>2282479.8710829928</v>
      </c>
      <c r="F111" s="162">
        <f t="shared" si="1"/>
        <v>2251505.1673379191</v>
      </c>
      <c r="G111" s="162">
        <f t="shared" si="1"/>
        <v>2220951.6409366596</v>
      </c>
      <c r="H111" s="162">
        <f t="shared" si="1"/>
        <v>2190813.5536381504</v>
      </c>
      <c r="I111" s="162">
        <f t="shared" si="1"/>
        <v>2161085.2455355627</v>
      </c>
      <c r="J111" s="162">
        <f t="shared" si="1"/>
        <v>2131761.1339839213</v>
      </c>
      <c r="K111" s="162">
        <f t="shared" si="1"/>
        <v>2102835.7125431285</v>
      </c>
      <c r="L111" s="162">
        <f t="shared" si="2"/>
        <v>2074303.5499359258</v>
      </c>
    </row>
    <row r="112" spans="1:12">
      <c r="A112" s="145" t="s">
        <v>3878</v>
      </c>
      <c r="B112" s="146">
        <f>774-'اوراق بدون ریسک'!$AD$19</f>
        <v>516</v>
      </c>
      <c r="C112" s="147">
        <f t="shared" si="1"/>
        <v>2326137.7160846684</v>
      </c>
      <c r="D112" s="147">
        <f t="shared" si="1"/>
        <v>2293500.9172567888</v>
      </c>
      <c r="E112" s="147">
        <f t="shared" si="1"/>
        <v>2261322.9028952108</v>
      </c>
      <c r="F112" s="147">
        <f t="shared" si="1"/>
        <v>2229597.211441881</v>
      </c>
      <c r="G112" s="147">
        <f t="shared" si="1"/>
        <v>2198317.4725175044</v>
      </c>
      <c r="H112" s="147">
        <f t="shared" si="1"/>
        <v>2167477.4056309345</v>
      </c>
      <c r="I112" s="147">
        <f t="shared" si="1"/>
        <v>2137070.8189104111</v>
      </c>
      <c r="J112" s="147">
        <f t="shared" si="1"/>
        <v>2107091.6078498126</v>
      </c>
      <c r="K112" s="147">
        <f t="shared" si="1"/>
        <v>2077533.7540733698</v>
      </c>
      <c r="L112" s="147">
        <f t="shared" si="2"/>
        <v>2048391.324118353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3729</v>
      </c>
      <c r="I1" t="s">
        <v>3735</v>
      </c>
    </row>
    <row r="2" spans="1:12">
      <c r="A2">
        <v>1</v>
      </c>
      <c r="B2" t="s">
        <v>3723</v>
      </c>
      <c r="G2" t="s">
        <v>3727</v>
      </c>
      <c r="H2" t="s">
        <v>3730</v>
      </c>
      <c r="I2" t="s">
        <v>3736</v>
      </c>
    </row>
    <row r="3" spans="1:12">
      <c r="A3">
        <v>2</v>
      </c>
      <c r="B3" t="s">
        <v>3724</v>
      </c>
      <c r="G3" s="123"/>
      <c r="H3" t="s">
        <v>3731</v>
      </c>
      <c r="I3" t="s">
        <v>3737</v>
      </c>
    </row>
    <row r="4" spans="1:12">
      <c r="A4">
        <v>3</v>
      </c>
      <c r="B4" t="s">
        <v>3725</v>
      </c>
      <c r="H4" t="s">
        <v>3732</v>
      </c>
      <c r="L4" s="123"/>
    </row>
    <row r="5" spans="1:12">
      <c r="H5" t="s">
        <v>3734</v>
      </c>
    </row>
    <row r="6" spans="1:12">
      <c r="B6" s="123" t="s">
        <v>3728</v>
      </c>
      <c r="H6" t="s">
        <v>3738</v>
      </c>
    </row>
    <row r="7" spans="1:12">
      <c r="H7" t="s">
        <v>3739</v>
      </c>
    </row>
    <row r="8" spans="1:12">
      <c r="H8" t="s">
        <v>3740</v>
      </c>
    </row>
    <row r="9" spans="1:12">
      <c r="H9" t="s">
        <v>3753</v>
      </c>
    </row>
    <row r="10" spans="1:12">
      <c r="H10" t="s">
        <v>3754</v>
      </c>
    </row>
    <row r="11" spans="1:12">
      <c r="H11" t="s">
        <v>3755</v>
      </c>
    </row>
    <row r="12" spans="1:12">
      <c r="H12" t="s">
        <v>3757</v>
      </c>
    </row>
    <row r="13" spans="1:12">
      <c r="H13" t="s">
        <v>3756</v>
      </c>
    </row>
    <row r="18" spans="1:8">
      <c r="A18" s="99" t="s">
        <v>3741</v>
      </c>
      <c r="B18" s="99"/>
      <c r="C18" s="99"/>
      <c r="D18" s="99"/>
    </row>
    <row r="19" spans="1:8">
      <c r="A19" s="99">
        <v>1</v>
      </c>
      <c r="B19" s="99" t="s">
        <v>3742</v>
      </c>
      <c r="C19" s="99" t="s">
        <v>3744</v>
      </c>
      <c r="D19" s="99"/>
    </row>
    <row r="20" spans="1:8">
      <c r="A20" s="99">
        <v>2</v>
      </c>
      <c r="B20" s="99" t="s">
        <v>3743</v>
      </c>
      <c r="C20" s="99" t="s">
        <v>3745</v>
      </c>
      <c r="D20" s="99" t="s">
        <v>3746</v>
      </c>
      <c r="G20" t="s">
        <v>3747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3751</v>
      </c>
      <c r="H38" s="22"/>
    </row>
    <row r="39" spans="1:8">
      <c r="A39">
        <v>1</v>
      </c>
      <c r="B39" t="s">
        <v>3748</v>
      </c>
    </row>
    <row r="40" spans="1:8">
      <c r="A40">
        <v>2</v>
      </c>
      <c r="B40" t="s">
        <v>3752</v>
      </c>
    </row>
    <row r="41" spans="1:8">
      <c r="A41">
        <v>3</v>
      </c>
      <c r="B41" t="s">
        <v>3749</v>
      </c>
    </row>
    <row r="42" spans="1:8">
      <c r="A42">
        <v>4</v>
      </c>
      <c r="B42" t="s">
        <v>3750</v>
      </c>
    </row>
  </sheetData>
  <hyperlinks>
    <hyperlink ref="B6" r:id="rId1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1239</v>
      </c>
      <c r="B1" t="s">
        <v>1240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1018</v>
      </c>
    </row>
    <row r="187" spans="1:7">
      <c r="A187" s="11" t="s">
        <v>1017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1018</v>
      </c>
    </row>
    <row r="188" spans="1:7">
      <c r="A188" s="11" t="s">
        <v>1017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1029</v>
      </c>
    </row>
    <row r="189" spans="1:7">
      <c r="A189" s="11" t="s">
        <v>1028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1029</v>
      </c>
    </row>
    <row r="190" spans="1:7">
      <c r="A190" s="11" t="s">
        <v>1028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1018</v>
      </c>
    </row>
    <row r="191" spans="1:7">
      <c r="A191" s="11" t="s">
        <v>1034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1036</v>
      </c>
    </row>
    <row r="192" spans="1:7">
      <c r="A192" s="11" t="s">
        <v>1062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1063</v>
      </c>
    </row>
    <row r="193" spans="1:7">
      <c r="A193" s="11" t="s">
        <v>1073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1074</v>
      </c>
    </row>
    <row r="194" spans="1:7">
      <c r="A194" s="11" t="s">
        <v>1078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1083</v>
      </c>
    </row>
    <row r="195" spans="1:7">
      <c r="A195" s="11" t="s">
        <v>1078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1084</v>
      </c>
    </row>
    <row r="196" spans="1:7">
      <c r="A196" s="11" t="s">
        <v>1078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1085</v>
      </c>
    </row>
    <row r="197" spans="1:7">
      <c r="A197" s="11" t="s">
        <v>1132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1133</v>
      </c>
    </row>
    <row r="198" spans="1:7">
      <c r="A198" s="99" t="s">
        <v>1135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1136</v>
      </c>
    </row>
    <row r="199" spans="1:7">
      <c r="A199" s="99" t="s">
        <v>1135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1145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1147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1158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1162</v>
      </c>
    </row>
    <row r="203" spans="1:7">
      <c r="A203" s="99" t="s">
        <v>1158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1163</v>
      </c>
    </row>
    <row r="204" spans="1:7">
      <c r="A204" s="99" t="s">
        <v>1167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1168</v>
      </c>
    </row>
    <row r="205" spans="1:7">
      <c r="A205" s="99" t="s">
        <v>1169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1174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1175</v>
      </c>
    </row>
    <row r="207" spans="1:7">
      <c r="A207" s="99" t="s">
        <v>1177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1182</v>
      </c>
    </row>
    <row r="208" spans="1:7">
      <c r="A208" s="99" t="s">
        <v>1183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1190</v>
      </c>
    </row>
    <row r="209" spans="1:7">
      <c r="A209" s="99" t="s">
        <v>1199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1205</v>
      </c>
    </row>
    <row r="210" spans="1:7">
      <c r="A210" s="99" t="s">
        <v>1199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1206</v>
      </c>
    </row>
    <row r="211" spans="1:7">
      <c r="A211" s="99" t="s">
        <v>1208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1205</v>
      </c>
    </row>
    <row r="212" spans="1:7">
      <c r="A212" s="99" t="s">
        <v>1211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1214</v>
      </c>
    </row>
    <row r="213" spans="1:7">
      <c r="A213" s="99" t="s">
        <v>1217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1218</v>
      </c>
    </row>
    <row r="214" spans="1:7">
      <c r="A214" s="99" t="s">
        <v>1215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1222</v>
      </c>
    </row>
    <row r="215" spans="1:7">
      <c r="A215" s="99" t="s">
        <v>1225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1228</v>
      </c>
    </row>
    <row r="216" spans="1:7">
      <c r="A216" s="99" t="s">
        <v>1225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1229</v>
      </c>
    </row>
    <row r="217" spans="1:7">
      <c r="A217" s="99" t="s">
        <v>1225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1231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1232</v>
      </c>
    </row>
    <row r="219" spans="1:7">
      <c r="A219" s="99" t="s">
        <v>1244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1245</v>
      </c>
    </row>
    <row r="220" spans="1:7">
      <c r="A220" s="99" t="s">
        <v>1244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1246</v>
      </c>
    </row>
    <row r="221" spans="1:7">
      <c r="A221" s="99" t="s">
        <v>3662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3663</v>
      </c>
    </row>
    <row r="222" spans="1:7">
      <c r="A222" s="99" t="s">
        <v>3664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3666</v>
      </c>
    </row>
    <row r="223" spans="1:7">
      <c r="A223" s="99" t="s">
        <v>3674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3677</v>
      </c>
    </row>
    <row r="224" spans="1:7">
      <c r="A224" s="11" t="s">
        <v>3681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1205</v>
      </c>
    </row>
    <row r="225" spans="1:7">
      <c r="A225" s="11" t="s">
        <v>3697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3698</v>
      </c>
    </row>
    <row r="226" spans="1:7">
      <c r="A226" s="99" t="s">
        <v>3703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3703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3704</v>
      </c>
    </row>
    <row r="228" spans="1:7">
      <c r="A228" s="99" t="s">
        <v>3707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3708</v>
      </c>
    </row>
    <row r="229" spans="1:7">
      <c r="A229" s="99" t="s">
        <v>3707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3710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3711</v>
      </c>
    </row>
    <row r="231" spans="1:7">
      <c r="A231" s="99" t="s">
        <v>3718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3719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3720</v>
      </c>
    </row>
    <row r="233" spans="1:7">
      <c r="A233" s="99" t="s">
        <v>3719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3726</v>
      </c>
    </row>
    <row r="234" spans="1:7">
      <c r="A234" s="99" t="s">
        <v>3733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3759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3760</v>
      </c>
    </row>
    <row r="236" spans="1:7">
      <c r="A236" s="99" t="s">
        <v>1146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3761</v>
      </c>
    </row>
    <row r="237" spans="1:7">
      <c r="A237" s="99" t="s">
        <v>1146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3763</v>
      </c>
    </row>
    <row r="238" spans="1:7">
      <c r="A238" s="99" t="s">
        <v>1146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3766</v>
      </c>
    </row>
    <row r="239" spans="1:7">
      <c r="A239" s="99" t="s">
        <v>3767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3768</v>
      </c>
    </row>
    <row r="240" spans="1:7">
      <c r="A240" s="99" t="s">
        <v>3767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3769</v>
      </c>
    </row>
    <row r="241" spans="1:7">
      <c r="A241" s="99" t="s">
        <v>3784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3785</v>
      </c>
    </row>
    <row r="242" spans="1:7">
      <c r="A242" s="99" t="s">
        <v>3794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3796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3797</v>
      </c>
    </row>
    <row r="244" spans="1:7">
      <c r="A244" s="99" t="s">
        <v>3905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3906</v>
      </c>
    </row>
    <row r="245" spans="1:7">
      <c r="A245" s="99" t="s">
        <v>3913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3914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3916</v>
      </c>
    </row>
    <row r="247" spans="1:7">
      <c r="A247" s="99" t="s">
        <v>3914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3916</v>
      </c>
    </row>
    <row r="248" spans="1:7">
      <c r="A248" s="99" t="s">
        <v>3920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3921</v>
      </c>
    </row>
    <row r="249" spans="1:7">
      <c r="A249" s="74" t="s">
        <v>3939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3928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3893</v>
      </c>
    </row>
    <row r="251" spans="1:7">
      <c r="A251" s="99" t="s">
        <v>3933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3936</v>
      </c>
    </row>
    <row r="252" spans="1:7">
      <c r="A252" s="99" t="s">
        <v>3933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3937</v>
      </c>
    </row>
    <row r="253" spans="1:7">
      <c r="A253" s="99" t="s">
        <v>3933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3937</v>
      </c>
    </row>
    <row r="254" spans="1:7">
      <c r="A254" s="99" t="s">
        <v>3933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3940</v>
      </c>
    </row>
    <row r="255" spans="1:7">
      <c r="A255" s="99" t="s">
        <v>3942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3944</v>
      </c>
    </row>
    <row r="256" spans="1:7">
      <c r="A256" s="99" t="s">
        <v>3942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3760</v>
      </c>
    </row>
    <row r="257" spans="1:7">
      <c r="A257" s="99" t="s">
        <v>3946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3947</v>
      </c>
    </row>
    <row r="258" spans="1:7">
      <c r="A258" s="99" t="s">
        <v>3946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3948</v>
      </c>
    </row>
    <row r="259" spans="1:7">
      <c r="A259" s="99" t="s">
        <v>4244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4255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3938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1347</v>
      </c>
      <c r="B1" s="96" t="s">
        <v>1348</v>
      </c>
      <c r="C1" s="96" t="s">
        <v>1349</v>
      </c>
      <c r="D1" s="96" t="s">
        <v>1350</v>
      </c>
      <c r="E1" s="96" t="s">
        <v>1351</v>
      </c>
      <c r="F1" s="96" t="s">
        <v>1352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3811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3812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3813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3814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3815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3816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3817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3818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3819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3820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3821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3822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3823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3824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3825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3826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3827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3828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3829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3830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3831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3832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3833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3834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3835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3836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3837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3838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3839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3840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3841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3842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3843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3844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3845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3846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3847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3848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3849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3850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3851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3852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3853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1247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1248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1249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1250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1251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1252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1253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1254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1255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1256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1257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1258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1259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1260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1261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1262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1263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1264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1265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1266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1267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1268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1269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1270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1271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1272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1273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1274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1275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1276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1277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1278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1279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1280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1281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1282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1283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1284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1285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1286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1287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1288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1289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1290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1291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1292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1293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1294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1295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1296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1297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1298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1299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1300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1301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1302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1303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1304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1305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1306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1307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1308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1309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1310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1311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1312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1313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1314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1315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1316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1317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1318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1319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1320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1321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1322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1323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1324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1325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1326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1327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1328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1329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1330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1331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1332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1333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1334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1335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1336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1337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1338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1339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1340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1341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1342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1343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1344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1345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1346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1353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1354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1355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1356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1357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1358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1359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1360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1361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1362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1363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1364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1365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1366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1367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1368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1369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1370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1371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1372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1373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1374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1375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1376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1377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1378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1379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1380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1381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1382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1383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1384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1385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1386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1387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1388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1389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1390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1391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1392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1393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1394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1395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1396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1397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1398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1399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1400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1401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1402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1403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1404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1405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1406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1407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1408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1409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1410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1411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1412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1413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1414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1415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1416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1417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1418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1419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1420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1421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1422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1423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1424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1425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1426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1427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1428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1429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1430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1431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1432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1433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1434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1435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1436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1437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1438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1439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1440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1441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1442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1443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1444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1445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1446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1447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1448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1449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1450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1451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1452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1453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1454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1455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1456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1457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1458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1459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1460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1461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1462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1463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1464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1465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1466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1467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1468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1469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1470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1471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1472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1473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1474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1475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1476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1477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1478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1479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1480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1481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1482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1483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1484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1485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1486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1487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1488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1489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1490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1491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1492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1493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1494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1495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1496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1497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1498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1499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1500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1501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1502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1503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1504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1505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1506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1507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1508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1509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1510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1511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1512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1513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1514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1515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1516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1517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1518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1519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1520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1521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1522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1523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1524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1525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1526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1527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1528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1529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1530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1531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1532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1533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1534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1535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1536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1537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1538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1539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1540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1541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1542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1543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1544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1545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1546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1547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1548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1549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1550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1551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1552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1553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1554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1555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1556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1557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1558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1559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1560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1561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1562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1563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1564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1565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1566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1567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1568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1569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1570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1571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1572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1573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1574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1575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1576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1577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1578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1579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1580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1581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1582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1583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1584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1585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1586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1587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1588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1589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1590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1591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1592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1593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1594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1595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1596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1597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1598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1599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1600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1601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1602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1603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1604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1605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1606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1607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1608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1609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1610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1611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1612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1613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1614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1615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1616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1617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1618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1619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1620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1621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1622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1623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1624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1625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1626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1627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1628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1629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1630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1631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1632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1633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1634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1635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1636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1637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1638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1639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1640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1641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1642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1643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1644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1645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1646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1647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1648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1649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1650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1651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1652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1653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1654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1655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1656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1657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1658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1659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1660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1661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1662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1663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1664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1665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1666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1667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1668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1669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1670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1671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1672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1673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1674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1675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1676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1677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1678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1679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1680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1681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1682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1683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1684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1685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1686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1687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1688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1689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1690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1691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1692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1693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1694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1695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1696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1697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1698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1699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1700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1701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1702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1703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1704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1705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1706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1707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1708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1709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1710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1711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1712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1713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1714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1715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1716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1717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1718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1719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1720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1721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1722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1723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1724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1725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1726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1727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1728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1729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1730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1731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1732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1733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1734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1735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1736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1737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1738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1739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1740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1741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1742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1743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1744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1745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1746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1747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1748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1749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1750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1751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1752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1753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1754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1755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1756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1757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1758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1759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1760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1761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1762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1763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1764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1765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1766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1767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1768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1769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1770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1771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1772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1773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1774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1775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1776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1777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1778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1779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1780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1781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1782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1783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1784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1785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1786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1787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1788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1789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1790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1791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1792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1793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1794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1795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1796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1797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1798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1799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1800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1801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1802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1803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1804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1805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1806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1807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1808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1809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1810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1811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1812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1813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1814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1815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1816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1817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1818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1819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1820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1821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1822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1823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1824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1825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1826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1827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1828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1829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1830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1831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1832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1833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1834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1835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1836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1837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1838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1839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1840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1841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1842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1843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1844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1845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1846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1847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1848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1849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1850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1851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1852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1853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1854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1855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1856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1857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1858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1859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1860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1861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1862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1863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1864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1865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1866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1867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1868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1869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1870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1871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1872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1873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1874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1875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1876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1877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1878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1879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1880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1881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1882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1883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1884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1885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1886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1887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1888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1889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1890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1891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1892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1893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1894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1895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1896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1897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1898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1899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1900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1901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1902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1903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1904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1905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1906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1907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1908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1909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1910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1911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1912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1913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1914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1915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1916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1917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1918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1919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1920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1921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1922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1923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1924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1925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1926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1927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1928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1929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1930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1931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1932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1933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1934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1935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1936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1937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1938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1939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1940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1941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1942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1943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1944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1945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1946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1947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1948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1949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1950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1951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1952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1953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1954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1955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1956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1957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1958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1959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1960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1961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1962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1963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1964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1965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1966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1967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1968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1969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1970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1971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1972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1973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1974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1975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1976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1977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1978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1979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1980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1981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1982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1983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1984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1985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1986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1987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1988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1989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1990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1991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1992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1993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1994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1995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1996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1997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1998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1999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2000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2001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2002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2003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2004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2005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2006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2007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2008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2009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2010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2011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2012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2013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2014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2015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2016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2017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2018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2019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2020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2021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2022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2023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2024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2025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2026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2027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2028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2029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2030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2031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2032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2033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2034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2035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2036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2037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2038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2039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2040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2041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2042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2043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2044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2045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2046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2047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2048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2049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2050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2051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2052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2053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2054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2055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2056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2057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2058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2059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2060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2061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2062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2063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2064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2065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2066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2067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2068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2069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2070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2071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2072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2073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2074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2075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2076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2077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2078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2079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2080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2081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2082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2083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2084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2085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2086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2087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2088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2089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2090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2091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2092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2093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2094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2095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2096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2097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2098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2099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2100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2101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2102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2103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2104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2105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2106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2107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2108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2109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2110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2111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2112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2113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2114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2115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2116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2117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2118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2119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2120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2121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2122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2123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2124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2125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2126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2127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2128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2129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2130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2131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2132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2133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2134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2135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2136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2137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2138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2139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2140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2141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2142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2143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2144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2145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2146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2147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2148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2149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2150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2151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2152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2153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2154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2155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2156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2157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2158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2159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2160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2161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2162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2163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2164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2165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2166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2167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2168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2169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2170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2171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2172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2173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2174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2175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2176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2177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2178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2179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2180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2181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2182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2183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2184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2185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2186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2187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2188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2189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2190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2191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2192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2193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2194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2195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2196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2197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2198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2199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2200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2201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2202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2203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2204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2205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2206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2207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2208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2209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2210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2211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2212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2213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2214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2215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2216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2217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2218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2219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2220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2221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2222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2223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2224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2225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2226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2227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2228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2229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2230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2231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2232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2233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2234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2235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2236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2237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2238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2239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2240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2241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2242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2243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2244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2245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2246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2247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2248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2249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2250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2251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2252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2253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2254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2255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2256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2257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2258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2259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2260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2261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2262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2263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2264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2265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2266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2267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2268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2269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2270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2271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2272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2273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2274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2275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2276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2277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2278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2279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2280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2281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2282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2283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2284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2285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2286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2287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2288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2289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2290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2291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2292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2293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2294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2295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2296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2297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2298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2299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2300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2301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2302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2303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2304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2305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2306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2307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2308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2309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2310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2311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2312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2313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2314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2315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2316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2317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2318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2319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2320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2321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2322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2323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2324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2325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2326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2327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2328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2329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2330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2331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2332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2333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2334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2335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2336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2337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2338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2339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2340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2341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2342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2343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2344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2345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2346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2347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2348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2349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2350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2351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2352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2353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2354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2355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2356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2357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2358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2359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2360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2361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2362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2363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2364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2365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2366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2367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2368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2369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2370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2371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2372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2373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2374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2375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2376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2377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2378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2379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2380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2381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2382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2383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2384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2385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2386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2387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2388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2389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2390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2391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2392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2393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2394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2395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2396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2397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2398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2399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2400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2401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2402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2403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2404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2405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2406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2407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2408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2409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2410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2411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2412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2413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2414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2415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2416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2417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2418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2419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2420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2421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2422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2423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2424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2425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2426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2427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2428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2429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2430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2431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2432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2433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2434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2435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2436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2437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2438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2439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2440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2441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2442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2443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2444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2445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2446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2447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2448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2449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2450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2451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2452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2453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2454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2455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2456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2457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2458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2459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2460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2461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2462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2463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2464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2465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2466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2467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2468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2469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2470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2471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2472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2473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2474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2475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2476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2477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2478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2479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2480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2481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2482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2483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2484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2485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2486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2487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2488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2489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2490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2491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2492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2493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2494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2495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2496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2497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2498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2499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2500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2501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2502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2503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2504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2505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2506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2507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2508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2509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2510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2511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2512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2513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2514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2515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2516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2517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2518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2519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2520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2521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2522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2523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2524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2525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2526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2527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2528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2529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2530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2531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2532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2533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2534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2535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2536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2537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2538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2539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2540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2541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2542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2543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2544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2545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2546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2547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2548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2549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2550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2551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2552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2553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2554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2555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2556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2557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2558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2559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2560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2561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2562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2563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2564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2565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2566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2567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2568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2569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2570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2571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2572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2573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2574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2575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2576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2577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2578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2579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2580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2581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2582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2583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2584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2585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2586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2587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2588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2589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2590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2591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2592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2593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2594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2595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2596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2597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2598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2599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2600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2601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2602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2603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2604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2605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2606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2607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2608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2609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2610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2611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2612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2613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2614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2615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2616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2617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2618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2619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2620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2621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2622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2623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2624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2625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2626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2627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2628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2629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2630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2631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2632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2633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2634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2635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2636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2637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2638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2639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2640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2641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2642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2643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2644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2645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2646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2647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2648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2649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2650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2651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2652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2653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2654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2655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2656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2657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2658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2659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2660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2661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2662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2663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2664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2665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2666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2667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2668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2669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2670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2671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2672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2673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2674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2675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2676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2677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2678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2679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2680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2681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2682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2683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2684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2685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2686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2687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2688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2689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2690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2691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2692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2693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2694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2695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2696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2697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2698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2699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2700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2701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2702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2703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2704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2705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2706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2707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2708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2709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2710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2711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2712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2713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2714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2715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2716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2717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2718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2719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2720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2721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2722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2723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2724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2725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2726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2727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2728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2729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2730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2731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2732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2733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2734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2735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2736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2737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2738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2739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2740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2741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2742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2743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2744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2745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2746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2747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2748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2749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2750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2751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2752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2753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2754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2755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2756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2757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2758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2759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2760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2761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2762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2763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2764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2765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2766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2767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2768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2769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2770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2771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2772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2773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2774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2775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2776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2777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2778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2779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2780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2781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2782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2783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2784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2785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2786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2787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2788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2789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2790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2791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2792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2793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2794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2795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2796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2797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2798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2799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2800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2801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2802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2803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2804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2805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2806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2807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2808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2809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2810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2811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2812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2813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2814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2815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2816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2817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2818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2819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2820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2821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2822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2823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2824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2825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2826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2827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2828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2829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2830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2831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2832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2833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2834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2835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2836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2837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2838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2839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2840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2841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2842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2843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2844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2845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2846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2847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2848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2849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2850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2851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2852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2853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2854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2855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2856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2857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2858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2859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2860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2861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2862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2863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2864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2865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2866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2867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2868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2869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2870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2871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2872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2873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2874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2875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2876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2877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2878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2879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2880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2881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2882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2883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2884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2885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2886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2887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2888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2889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2890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2891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2892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2893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2894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2895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2896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2897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2898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2899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2900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2901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2902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2903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2904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2905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2906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2907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2908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2909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2910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2911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2912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2913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2914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2915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2916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2917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2918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2919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2920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2921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2922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2923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2924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2925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2926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2927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2928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2929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2930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2931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2932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2933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2934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2935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2936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2937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2938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2939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2940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2941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2942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2943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2944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2945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2946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2947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2948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2949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2950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2951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2952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2953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2954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2955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2956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2957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2958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2959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2960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2961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2962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2963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2964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2965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2966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2967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2968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2969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2970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2971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2972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2973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2974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2975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2976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2977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2978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2979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2980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2981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2982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2983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2984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2985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2986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2987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2988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2989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2990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2991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2992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2993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2994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2995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2996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2997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2998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2999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3000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3001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3002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3003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3004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3005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3006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3007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3008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3009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3010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3011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3012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3013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3014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3015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3016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3017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3018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3019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3020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3021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3022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3023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3024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3025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3026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3027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3028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3029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3030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3031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3032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3033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3034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3035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3036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3037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3038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3039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3040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3041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3042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3043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3044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3045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3046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3047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3048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3049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3050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3051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3052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3053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3054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3055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3056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3057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3058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3059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3060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3061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3062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3063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3064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3065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3066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3067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3068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3069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3070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3071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3072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3073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3074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3075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3076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3077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3078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3079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3080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3081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3082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3083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3084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3085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3086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3087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3088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3089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3090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3091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3092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3093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3094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3095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3096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3097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3098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3099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3100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3101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3102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3103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3104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3105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3106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3107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3108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3109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3110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3111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3112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3113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3114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3115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3116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3117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3118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3119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3120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3121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3122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3123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3124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3125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3126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3127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3128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3129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3130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3131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3132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3133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3134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3135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3136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3137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3138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3139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3140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3141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3142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3143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3144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3145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3146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3147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3148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3149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3150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3151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3152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3153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3154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3155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3156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3157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3158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3159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3160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3161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3162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3163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3164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3165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3166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3167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3168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3169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3170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3171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3172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3173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3174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3175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3176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3177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3178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3179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3180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3181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3182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3183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3184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3185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3186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3187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3188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3189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3190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3191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3192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3193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3194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3195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3196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3197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3198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3199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3200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3201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3202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3203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3204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3205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3206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3207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3208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3209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3210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3211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3212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3213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3214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3215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3216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3217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3218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3219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3220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3221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3222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3223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3224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3225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3226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3227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3228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3229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3230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3231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3232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3233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3234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3235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3236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3237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3238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3239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3240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3241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3242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3243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3244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3245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3246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3247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3248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3249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3250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3251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3252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3253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3254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3255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3256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3257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3258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3259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3260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3261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3262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3263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3264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3265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3266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3267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3268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3269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3270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3271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3272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3273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3274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3275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3276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3277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3278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3279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3280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3281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3282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3283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3284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3285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3286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3287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3288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3289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3290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3291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3292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3293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3294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3295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3296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3297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3298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3299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3300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3301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3302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3303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3304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3305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3306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3307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3308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3309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3310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3311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3312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3313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3314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3315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3316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3317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3318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3319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3320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3321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3322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3323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3324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3325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3326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3327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3328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3329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3330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3331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3332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3333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3334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3335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3336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3337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3338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3339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3340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3341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3342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3343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3344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3345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3346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3347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3348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3349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3350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3351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3352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3353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3354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3355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3356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3357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3358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3359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3360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3361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3362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3363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3364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3365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3366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3367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3368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3369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3370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3371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3372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3373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3374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3375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3376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3377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3378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3379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3380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3381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3382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3383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3384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3385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3386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3387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3388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3389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3390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3391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3392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3393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3394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3395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3396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3397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3398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3399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3400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3401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3402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3403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3404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3405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3406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3407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3408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3409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3410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3411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3412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3413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3414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3415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3416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3417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3418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3419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3420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3421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3422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3423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3424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3425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3426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3427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3428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3429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3430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3431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3432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3433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3434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3435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3436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3437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3438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3439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3440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3441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3442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3443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3444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3445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3446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3447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3448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3449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3450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3451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3452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3453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3454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3455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3456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3457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3458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3459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3460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3461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3462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3463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3464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3465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3466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3467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3468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3469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3470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3471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3472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3473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3474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3475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3476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3477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3478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3479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3480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3481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3482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3483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3484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3485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3486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3487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3488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3489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3490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3491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3492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3493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3494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3495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3496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3497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3498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3499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3500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3501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3502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3503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3504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3505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3506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3507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3508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3509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3510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3511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3512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3513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3514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3515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3516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3517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3518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3519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3520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3521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3522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3523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3524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3525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3526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3527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3528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3529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3530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3531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3532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3533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3534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3535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3536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3537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3538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3539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3540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3541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3542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3543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3544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3545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3546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3547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3548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3549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3550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3551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3552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3553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3554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3555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3556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3557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3558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3559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3560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3561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3562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3563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3564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3565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3566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3567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3568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3569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3570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3571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3572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3573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3574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3575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3576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3577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3578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3579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3580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3581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3582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3583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3584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3585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3586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3587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3588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3589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3590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3591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3592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3593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3594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3595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3596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3597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3598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3599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3600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3601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3602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3603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3604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3605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3606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3607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3608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3609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3610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3611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3612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3613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3614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3615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3616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3617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3618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3619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3620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3621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3622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3623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3624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3625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3626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3627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3628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3629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3630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3631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3632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3633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3634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3635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3636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3637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3638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3639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3640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3641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3643</v>
      </c>
      <c r="B1" s="96" t="s">
        <v>1352</v>
      </c>
      <c r="C1" s="96" t="s">
        <v>1351</v>
      </c>
      <c r="D1" s="96" t="s">
        <v>1347</v>
      </c>
      <c r="E1" s="96" t="s">
        <v>1348</v>
      </c>
      <c r="F1" s="96" t="s">
        <v>1349</v>
      </c>
      <c r="G1" s="96" t="s">
        <v>1350</v>
      </c>
      <c r="H1" s="96"/>
      <c r="I1" s="96" t="s">
        <v>3651</v>
      </c>
      <c r="J1" s="96" t="s">
        <v>1130</v>
      </c>
      <c r="K1" s="96" t="s">
        <v>1238</v>
      </c>
      <c r="L1" s="96" t="s">
        <v>3652</v>
      </c>
      <c r="M1" s="96" t="s">
        <v>3653</v>
      </c>
      <c r="N1" s="96" t="s">
        <v>191</v>
      </c>
      <c r="O1" s="96" t="s">
        <v>3656</v>
      </c>
      <c r="P1" s="139" t="s">
        <v>3657</v>
      </c>
      <c r="Q1" s="139" t="s">
        <v>3658</v>
      </c>
      <c r="R1" s="96" t="s">
        <v>937</v>
      </c>
      <c r="S1" s="96" t="s">
        <v>3654</v>
      </c>
      <c r="T1" s="96" t="s">
        <v>1130</v>
      </c>
      <c r="U1" s="96" t="s">
        <v>1238</v>
      </c>
      <c r="V1" s="96" t="s">
        <v>3655</v>
      </c>
      <c r="W1" s="96" t="s">
        <v>3653</v>
      </c>
      <c r="X1" s="96" t="s">
        <v>191</v>
      </c>
    </row>
    <row r="2" spans="1:35">
      <c r="A2" s="96">
        <v>1</v>
      </c>
      <c r="B2" s="136" t="s">
        <v>3642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3641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3640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3644</v>
      </c>
      <c r="AC4" s="96" t="s">
        <v>3645</v>
      </c>
      <c r="AD4" s="96" t="s">
        <v>3646</v>
      </c>
      <c r="AE4" s="96" t="s">
        <v>3647</v>
      </c>
      <c r="AH4" s="96" t="s">
        <v>3648</v>
      </c>
      <c r="AI4" s="110">
        <v>100000000</v>
      </c>
    </row>
    <row r="5" spans="1:35">
      <c r="A5" s="96">
        <v>4</v>
      </c>
      <c r="B5" s="136" t="s">
        <v>3639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3638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3649</v>
      </c>
      <c r="AI6" s="96">
        <v>25</v>
      </c>
    </row>
    <row r="7" spans="1:35">
      <c r="A7" s="96">
        <v>6</v>
      </c>
      <c r="B7" s="136" t="s">
        <v>3637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3636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3635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3634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3650</v>
      </c>
      <c r="AI10" s="110">
        <f>AI4*(1+AI6/100)^8</f>
        <v>596046447.75390625</v>
      </c>
    </row>
    <row r="11" spans="1:35">
      <c r="A11" s="96">
        <v>10</v>
      </c>
      <c r="B11" s="136" t="s">
        <v>3633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3632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3631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3630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3629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3628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3627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3626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3625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3624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3623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3622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3621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3620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3619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3618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3617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3616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3615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3614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3613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3612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3611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3610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3609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3608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3607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3606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3605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3604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3603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3602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3601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3600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3599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3598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3597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3596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3595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3594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3593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3592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3591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3590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3589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3588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3587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3586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3585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3584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3583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3582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3581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3580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3579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3578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3577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3576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3575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3574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3573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3572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3571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3570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3569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3568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3567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3566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3565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3564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3563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3562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3561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3560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3559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3558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3557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3556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3555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3554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3553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3552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3551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3550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3549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3548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3547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3546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3545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3544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3543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3542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3541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3540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3539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3538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3537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3536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3535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3534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3533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3532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3531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3530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3529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3528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3527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3526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3525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3524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3523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3522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3521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3520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3519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3518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3517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3516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3515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3514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3513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3512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3511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3510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3509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3508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3507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3506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3505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3504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3503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3502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3501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3500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3499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3498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3497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3496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3495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3494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3493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3492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3491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3490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3489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3488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3487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3486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3485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3484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3483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3482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3481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3480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3479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3478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3477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3476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3475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3474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3473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3472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3471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3470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3469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3468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3467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3466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3465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3464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3463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3462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3461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3460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3459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3458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3457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3456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3455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3454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3453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3452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3451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3450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3449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3448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3447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3446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3445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3444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3443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3442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3441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3440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3439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3438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3437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3436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3435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3434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3433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3432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3431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3430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3429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3428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3427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3426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3425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3424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3423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3422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3421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3420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3419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3418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3417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3416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3415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3414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3413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3412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3411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3410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3409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3408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3407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3406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3405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3404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3403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3402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3401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3400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3399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3398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3397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3396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3395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3394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3393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3392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3391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3390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3389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3388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3387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3386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3385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3384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3383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3382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3381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3380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3379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3378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3377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3376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3375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3374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3373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3372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3371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3370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3369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3368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3367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3366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3365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3364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3363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3362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3361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3360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3359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3358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3357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3356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3355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3354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3353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3352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3351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3350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3349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3348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3347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3346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3345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3344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3343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3342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3341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3340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3339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3338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3337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3336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3335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3334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3333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3332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3331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3330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3329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3328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3327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3326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3325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3324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3323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3322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3321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3320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3319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3318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3317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3316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3315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3314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3313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3312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3311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3310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3309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3308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3307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3306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3305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3304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3303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3302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3301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3300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3299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3298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3297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3296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3295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3294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3293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3292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3291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3290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3289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3288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3287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3286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3285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3284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3283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3282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3281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3280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3279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3278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3277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3276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3275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3274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3273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3272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3271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3270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3269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3268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3267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3266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3265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3264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3263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3262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3261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3260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3259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3258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3257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3256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3255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3254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3253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3252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3251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3250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3249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3248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3247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3246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3245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3244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3243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3242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3241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3240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3239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3238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3237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3236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3235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3234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3233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3232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3231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3230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3229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3228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3227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3226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3225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3224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3223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3222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3221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3220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3219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3218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3217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3216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3215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3214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3213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3212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3211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3210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3209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3208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3207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3206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3205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3204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3203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3202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3201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3200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3199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3198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3197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3196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3195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3194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3193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3192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3191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3190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3189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3188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3187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3186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3185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3184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3183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3182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3181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3180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3179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3178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3177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3176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3175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3174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3173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3172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3171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3170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3169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3168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3167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3166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3165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3164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3163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3162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3161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3160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3159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3158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3157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3156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3155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3154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3153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3152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3151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3150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3149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3148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3147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3146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3145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3144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3143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3142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3141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3140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3139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3138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3137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3136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3135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3134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3133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3132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3131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3130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3129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3128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3127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3126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3125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3124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3123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3122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3121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3120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3119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3118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3117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3116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3115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3114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3113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3112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3111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3110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3109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3108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3107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3106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3105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3104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3103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3102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3101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3100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3099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3098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3097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3096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3095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3094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3093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3092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3091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3090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3089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3088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3087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3086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3085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3084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3083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3082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3081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3080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3079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3078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3077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3076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3075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3074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3073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3072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3071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3070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3069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3068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3067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3066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3065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3064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3063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3062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3061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3060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3059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3058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3057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3056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3055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3054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3053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3052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3051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3050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3049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3048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3047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3046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3045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3044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3043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3042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3041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3040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3039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3038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3037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3036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3035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3034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3033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3032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3031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3030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3029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3028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3027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3026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3025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3024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3023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3022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3021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3020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3019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3018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3017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3016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3015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3014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3013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3012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3011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3010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3009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3008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3007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3006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3005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3004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3003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3002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3001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3000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2999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2998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2997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2996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2995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2994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2993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2992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2991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2990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2989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2988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2987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2986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2985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2984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2983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2982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2981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2980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2979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2978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2977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2976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2975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2974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2973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2972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2971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2970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2969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2968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2967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2966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2965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2964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2963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2962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2961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2960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2959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2958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2957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2956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2955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2954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2953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2952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2951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2950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2949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2948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2947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2946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2945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2944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2943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2942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2941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2940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2939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2938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2937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2936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2935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2934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2933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2932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2931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2930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2929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2928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2927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2926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2925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2924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2923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2922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2921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2920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2919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2918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2917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2916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2915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2914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2913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2912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2911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2910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2909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2908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2907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2906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2905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2904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2903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2902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2901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2900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2899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2898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2897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2896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2895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2894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2893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2892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2891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2890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2889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2888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2887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2886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2885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2884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2883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2882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2881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2880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2879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2878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2877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2876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2875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2874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2873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2872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2871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2870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2869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2868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2867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2866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2865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2864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2863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2862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2861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2860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2859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2858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2857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2856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2855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2854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2853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2852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2851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2850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2849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2848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2847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2846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2845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2844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2843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2842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2841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2840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2839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2838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2837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2836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2835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2834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2833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2832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2831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2830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2829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2828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2827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2826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2825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2824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2823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2822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2821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2820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2819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2818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2817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2816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2815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2814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2813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2812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2811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2810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2809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2808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2807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2806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2805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2804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2803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2802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2801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2800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2799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2798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2797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2796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2795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2794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2793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2792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2791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2790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2789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2788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2787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2786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2785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2784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2783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2782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2781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2780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2779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2778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2777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2776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2775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2774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2773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2772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2771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2770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2769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2768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2767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2766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2765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2764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2763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2762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2761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2760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2759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2758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2757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2756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2755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2754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2753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2752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2751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2750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2749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2748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2747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2746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2745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2744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2743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2742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2741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2740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2739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2738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2737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2736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2735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2734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2733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2732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2731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2730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2729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2728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2727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2726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2725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2724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2723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2722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2721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2720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2719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2718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2717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2716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2715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2714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2713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2712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2711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2710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2709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2708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2707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2706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2705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2704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2703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2702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2701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2700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2699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2698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2697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2696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2695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2694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2693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2692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2691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2690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2689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2688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2687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2686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2685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2684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2683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2682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2681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2680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2679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2678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2677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2676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2675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2674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2673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2672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2671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2670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2669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2668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2667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2666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2665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2664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2663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2662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2661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2660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2659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2658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2657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2656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2655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2654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2653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2652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2651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2650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2649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2648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2647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2646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2645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2644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2643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2642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2641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2640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2639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2638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2637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2636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2635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2634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2633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2632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2631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2630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2629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2628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2627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2626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2625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2624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2623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2622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2621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2620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2619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2618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2617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2616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2615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2614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2613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2612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2611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2610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2609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2608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2607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2606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2605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2604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2603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2602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2601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2600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2599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2598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2597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2596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2595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2594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2593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2592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2591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2590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2589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2588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2587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2586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2585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2584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2583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2582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2581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2580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2579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2578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2577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2576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2575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2574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2573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2572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2571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2570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2569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2568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2567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2566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2565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2564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2563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2562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2561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2560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2559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2558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2557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2556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2555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2554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2553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2552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2551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2550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2549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2548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2547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2546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2545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2544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2543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2542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2541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2540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2539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2538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2537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2536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2535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2534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2533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2532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2531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2530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2529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2528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2527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2526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2525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2524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2523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2522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2521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2520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2519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2518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2517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2516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2515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2514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2513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2512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2511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2510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2509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2508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2507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2506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2505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2504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2503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2502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2501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2500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2499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2498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2497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2496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2495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2494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2493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2492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2491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2490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2489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2488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2487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2486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2485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2484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2483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2482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2481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2480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2479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2478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2477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2476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2475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2474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2473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2472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2471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2470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2469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2468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2467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2466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2465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2464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2463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2462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2461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2460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2459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2458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2457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2456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2455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2454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2453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2452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2451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2450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2449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2448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2447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2446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2445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2444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2443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2442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2441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2440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2439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2438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2437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2436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2435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2434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2433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2432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2431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2430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2429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2428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2427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2426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2425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2424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2423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2422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2421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2420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2419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2418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2417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2416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2415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2414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2413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2412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2411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2410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2409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2408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2407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2406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2405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2404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2403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2402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2401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2400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2399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2398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2397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2396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2395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2394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2393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2392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2391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2390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2389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2388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2387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2386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2385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2384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2383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2382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2381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2380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2379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2378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2377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2376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2375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2374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2373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2372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2371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2370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2369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2368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2367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2366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2365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2364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2363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2362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2361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2360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2359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2358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2357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2356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2355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2354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2353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2352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2351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2350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2349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2348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2347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2346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2345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2344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2343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2342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2341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2340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2339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2338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2337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2336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2335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2334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2333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2332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2331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2330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2329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2328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2327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2326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2325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2324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2323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2322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2321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2320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2319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2318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2317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2316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2315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2314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2313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2312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2311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2310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2309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2308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2307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2306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2305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2304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2303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2302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2301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2300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2299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2298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2297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2296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2295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2294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2293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2292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2291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2290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2289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2288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2287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2286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2285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2284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2283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2282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2281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2280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2279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2278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2277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2276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2275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2274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2273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2272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2271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2270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2269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2268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2267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2266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2265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2264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2263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2262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2261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2260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2259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2258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2257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2256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2255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2254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2253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2252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2251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2250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2249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2248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2247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2246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2245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2244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2243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2242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2241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2240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2239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2238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2237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2236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2235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2234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2233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2232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2231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2230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2229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2228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2227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2226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2225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2224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2223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2222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2221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2220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2219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2218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2217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2216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2215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2214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2213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2212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2211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2210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2209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2208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2207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2206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2205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2204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2203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2202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2201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2200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2199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2198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2197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2196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2195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2194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2193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2192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2191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2190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2189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2188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2187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2186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2185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2184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2183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2182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2181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2180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2179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2178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2177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2176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2175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2174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2173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2172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2171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2170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2169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2168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2167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2166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2165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2164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2163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2162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2161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2160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2159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2158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2157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2156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2155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2154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2153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2152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2151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2150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2149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2148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2147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2146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2145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2144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2143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2142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2141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2140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2139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2138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2137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2136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2135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2134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2133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2132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2131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2130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2129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2128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2127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2126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2125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2124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2123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2122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2121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2120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2119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2118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2117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2116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2115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2114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2113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2112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2111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2110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2109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2108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2107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2106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2105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2104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2103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2102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2101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2100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2099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2098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2097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2096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2095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2094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2093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2092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2091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2090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2089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2088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2087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2086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2085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2084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2083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2082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2081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2080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2079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2078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2077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2076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2075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2074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2073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2072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2071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2070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2069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2068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2067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2066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2065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2064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2063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2062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2061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2060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2059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2058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2057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2056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2055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2054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2053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2052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2051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2050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2049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2048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2047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2046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2045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2044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2043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2042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2041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2040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2039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2038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2037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2036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2035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2034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2033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2032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2031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2030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2029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2028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2027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2026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2025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2024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2023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2022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2021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2020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2019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2018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2017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2016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2015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2014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2013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2012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2011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2010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2009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2008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2007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2006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2005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2004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2003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2002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2001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2000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1999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1998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1997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1996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1995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1994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1993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1992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1991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1990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1989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1988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1987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1986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1985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1984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1983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1982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1981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1980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1979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1978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1977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1976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1975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1974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1973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1972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1971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1970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1969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1968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1967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1966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1965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1964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1963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1962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1961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1960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1959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1958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1957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1956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1955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1954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1953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1952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1951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1950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1949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1948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1947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1946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1945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1944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1943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1942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1941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1940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1939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1938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1937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1936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1935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1934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1933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1932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1931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1930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1929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1928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1927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1926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1925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1924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1923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1922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1921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1920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1919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1918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1917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1916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1915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1914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1913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1912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1911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1910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1909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1908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1907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1906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1905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1904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1903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1902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1901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1900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1899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1898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1897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1896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1895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1894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1893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1892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1891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1890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1889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1888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1887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1886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1885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1884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1883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1882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1881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1880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1879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1878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1877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1876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1875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1874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1873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1872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1871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1870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1869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1868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1867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1866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1865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1864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1863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1862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1861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1860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1859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1858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1857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1856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1855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1854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1853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1852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1851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1850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1849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1848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1847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1846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1845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1844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1843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1842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1841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1840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1839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1838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1837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1836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1835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1834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1833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1832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1831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1830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1829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1828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1827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1826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1825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1824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1823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1822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1821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1820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1819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1818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1817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1816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1815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1814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1813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1812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1811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1810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1809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1808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1807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1806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1805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1804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1803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1802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1801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1800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1799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1798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1797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1796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1795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1794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1793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1792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1791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1790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1789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1788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1787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1786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1785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1784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1783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1782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1781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1780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1779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1778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1777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1776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1775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1774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1773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1772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1771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1770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1769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1768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1767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1766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1765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1764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1763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1762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1761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1760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1759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1758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1757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1756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1755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1754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1753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1752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1751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1750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1749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1748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1747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1746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1745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1744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1743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1742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1741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1740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1739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1738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1737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1736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1735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1734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1733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1732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1731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1730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1729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1728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1727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1726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1725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1724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1723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1722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1721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1720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1719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1718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1717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1716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1715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1714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1713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1712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1711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1710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1709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1708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1707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1706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1705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1704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1703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1702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1701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1700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1699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1698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1697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1696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1695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1694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1693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1692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1691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1690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1689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1688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1687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1686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1685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1684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1683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1682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1681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1680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1679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1678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1677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1676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1675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1674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1673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1672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1671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1670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1669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1668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1667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1666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1665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1664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1663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1662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1661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1660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1659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1658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1657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1656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1655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1654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1653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1652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1651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1650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1649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1648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1647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1646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1645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1644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1643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1642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1641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1640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1639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1638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1637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1636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1635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1634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1633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1632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1631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1630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1629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1628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1627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1626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1625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1624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1623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1622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1621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1620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1619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1618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1617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1616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1615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1614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1613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1612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1611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1610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1609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1608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1607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1606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1605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1604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1603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1602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1601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1600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1599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1598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1597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1596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1595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1594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1593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1592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1591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1590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1589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1588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1587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1586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1585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1584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1583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1582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1581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1580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1579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1578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1577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1576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1575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1574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1573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1572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1571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1570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1569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1568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1567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1566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1565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1564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1563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1562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1561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1560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1559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1558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1557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1556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1555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1554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1553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1552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1551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1550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1549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1548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1547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1546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1545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1544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1543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1542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1541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1540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1539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1538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1537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1536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1535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1534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1533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1532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1531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1530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1529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1528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1527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1526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1525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1524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1523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1522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1521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1520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1519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1518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1517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1516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1515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1514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1513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1512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1511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1510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1509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1508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1507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1506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1505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1504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1503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1502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1501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1500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1499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1498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1497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1496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1495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1494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1493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1492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1491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1490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1489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1488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1487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1486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1485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1484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1483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1482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1481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1480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1479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1478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1477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1476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1475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1474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1473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1472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1471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1470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1469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1468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1467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1466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1465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1464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1463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1462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1461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1460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1459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1458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1457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1456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1455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1454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1453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1452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1451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1450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1449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1448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1447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1446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1445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1444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1443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1442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1441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1440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1439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1438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1437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1436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1435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1434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1433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1432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1431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1430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1429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1428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1427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1426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1425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1424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1423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1422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1421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1420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1419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1418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1417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1416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1415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1414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1413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1412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1411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1410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1409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1408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1407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1406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1405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1404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1403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1402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1401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1400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1399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1398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1397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1396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1395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1394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1393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1392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1391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1390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1389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1388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1387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1386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1385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1384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1383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1382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1381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1380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1379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1378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1377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1376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1375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1374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1373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1372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1371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1370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1369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1368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1367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1366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1365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1364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1363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1362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1361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1360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1359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1358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1357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1356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1355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1354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1353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1346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1345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1344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1343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1342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1341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1340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1339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1338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1337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1336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1335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1334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1333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1332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1331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1330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1329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1328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1327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1326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1325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1324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1323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1322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1321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1320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1319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1318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1317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1316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1315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1314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1313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1312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1311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1310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1309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1308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1307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1306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1305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1304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1303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1302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1301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1300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1299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1298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1297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1296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1295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1294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1293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1292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1291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1290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1289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1288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1287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1286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1285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1284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1283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1282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1281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1280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1279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1278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1277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1276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1275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1274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1273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1272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1271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1270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1269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1268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1267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1266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1265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1264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1263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1262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1261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1260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1259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1258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1257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1256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1255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1254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1253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1252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1251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1250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1249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1248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1247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5" sqref="B5"/>
    </sheetView>
  </sheetViews>
  <sheetFormatPr defaultRowHeight="15"/>
  <sheetData>
    <row r="1" spans="1:3">
      <c r="A1" t="s">
        <v>4609</v>
      </c>
      <c r="B1" t="s">
        <v>4612</v>
      </c>
      <c r="C1" t="s">
        <v>4613</v>
      </c>
    </row>
    <row r="2" spans="1:3">
      <c r="A2" t="s">
        <v>4610</v>
      </c>
      <c r="B2" t="s">
        <v>4614</v>
      </c>
      <c r="C2" t="s">
        <v>4615</v>
      </c>
    </row>
    <row r="3" spans="1:3">
      <c r="A3" t="s">
        <v>4611</v>
      </c>
      <c r="B3" t="s">
        <v>4613</v>
      </c>
      <c r="C3" t="s">
        <v>4616</v>
      </c>
    </row>
    <row r="8" spans="1:3" ht="9.75" customHeight="1"/>
    <row r="9" spans="1:3" hidden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P10" sqref="P10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1067</v>
      </c>
      <c r="O6" t="s">
        <v>279</v>
      </c>
      <c r="P6">
        <v>54682</v>
      </c>
      <c r="Q6" s="25" t="s">
        <v>3925</v>
      </c>
      <c r="R6" s="25" t="s">
        <v>4142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4143</v>
      </c>
      <c r="R8" s="115" t="s">
        <v>4144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1068</v>
      </c>
      <c r="L10" s="34">
        <v>410021484671</v>
      </c>
      <c r="M10" s="33" t="s">
        <v>1069</v>
      </c>
      <c r="N10" t="s">
        <v>1071</v>
      </c>
      <c r="O10" t="s">
        <v>1072</v>
      </c>
      <c r="P10">
        <v>3781963292</v>
      </c>
      <c r="Q10" s="25" t="s">
        <v>3924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1141</v>
      </c>
      <c r="L13" t="s">
        <v>1138</v>
      </c>
      <c r="N13" t="s">
        <v>1143</v>
      </c>
      <c r="P13" t="s">
        <v>1137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1140</v>
      </c>
      <c r="L14" t="s">
        <v>1139</v>
      </c>
      <c r="M14" t="s">
        <v>1142</v>
      </c>
      <c r="N14" t="s">
        <v>1144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1148</v>
      </c>
      <c r="L17">
        <v>200011228</v>
      </c>
      <c r="M17" t="s">
        <v>1149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3891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4029</v>
      </c>
      <c r="L19" t="s">
        <v>4030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4031</v>
      </c>
      <c r="L20" t="s">
        <v>4190</v>
      </c>
      <c r="M20" t="s">
        <v>4032</v>
      </c>
      <c r="N20" t="s">
        <v>4191</v>
      </c>
      <c r="O20" t="s">
        <v>4112</v>
      </c>
      <c r="P20" t="s">
        <v>4113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4372</v>
      </c>
      <c r="L21" s="33" t="s">
        <v>4374</v>
      </c>
      <c r="M21" s="96" t="s">
        <v>4373</v>
      </c>
      <c r="N21" s="192" t="s">
        <v>4375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4337</v>
      </c>
      <c r="L23">
        <v>9149046982</v>
      </c>
      <c r="M23" t="s">
        <v>4338</v>
      </c>
      <c r="N23" t="s">
        <v>4339</v>
      </c>
      <c r="O23" t="s">
        <v>4340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4341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4342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1012</v>
      </c>
      <c r="B103" s="38">
        <v>295500</v>
      </c>
      <c r="C103" s="73" t="s">
        <v>1013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3963</v>
      </c>
      <c r="B105" s="38">
        <f>SUM(B2:B103)</f>
        <v>59475793</v>
      </c>
      <c r="C105" s="73" t="s">
        <v>3962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934</v>
      </c>
      <c r="B108" s="38">
        <v>-60000000</v>
      </c>
      <c r="C108" s="73" t="s">
        <v>1009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934</v>
      </c>
      <c r="B109" s="38">
        <v>5850000</v>
      </c>
      <c r="C109" s="73" t="s">
        <v>1011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1017</v>
      </c>
      <c r="B110" s="38">
        <v>3000000</v>
      </c>
      <c r="C110" s="73" t="s">
        <v>1027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1028</v>
      </c>
      <c r="B111" s="38">
        <v>2000000</v>
      </c>
      <c r="C111" s="73" t="s">
        <v>1027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1028</v>
      </c>
      <c r="B112" s="38">
        <v>-5000000</v>
      </c>
      <c r="C112" s="73" t="s">
        <v>1009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1034</v>
      </c>
      <c r="B113" s="38">
        <v>412668</v>
      </c>
      <c r="C113" s="73" t="s">
        <v>1035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1073</v>
      </c>
      <c r="B114" s="38">
        <v>42000000</v>
      </c>
      <c r="C114" s="73" t="s">
        <v>1074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1078</v>
      </c>
      <c r="B115" s="38">
        <v>-25000000</v>
      </c>
      <c r="C115" s="73" t="s">
        <v>1082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1079</v>
      </c>
      <c r="B116" s="38">
        <v>-200000</v>
      </c>
      <c r="C116" s="73" t="s">
        <v>1101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1108</v>
      </c>
      <c r="B117" s="38">
        <v>-18000000</v>
      </c>
      <c r="C117" s="73" t="s">
        <v>1109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1110</v>
      </c>
      <c r="B118" s="38">
        <v>-2500000</v>
      </c>
      <c r="C118" s="73" t="s">
        <v>1109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1145</v>
      </c>
      <c r="B119" s="38">
        <v>595000</v>
      </c>
      <c r="C119" s="73" t="s">
        <v>1027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1147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1150</v>
      </c>
      <c r="B121" s="38">
        <v>-3200900</v>
      </c>
      <c r="C121" s="73" t="s">
        <v>1151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1158</v>
      </c>
      <c r="B122" s="38">
        <v>16276000</v>
      </c>
      <c r="C122" s="73" t="s">
        <v>1160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1169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1169</v>
      </c>
      <c r="B124" s="38">
        <v>2020000</v>
      </c>
      <c r="C124" s="73" t="s">
        <v>1173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1169</v>
      </c>
      <c r="B125" s="38">
        <v>4975000</v>
      </c>
      <c r="C125" s="73" t="s">
        <v>1170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1183</v>
      </c>
      <c r="B126" s="38">
        <v>-18500000</v>
      </c>
      <c r="C126" s="73" t="s">
        <v>1109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1183</v>
      </c>
      <c r="B127" s="38">
        <v>3000000</v>
      </c>
      <c r="C127" s="73" t="s">
        <v>1189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1183</v>
      </c>
      <c r="B128" s="38">
        <v>-3000900</v>
      </c>
      <c r="C128" s="73" t="s">
        <v>1195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1192</v>
      </c>
      <c r="B129" s="38">
        <v>900000</v>
      </c>
      <c r="C129" s="73" t="s">
        <v>1194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1192</v>
      </c>
      <c r="B130" s="38">
        <v>-3000900</v>
      </c>
      <c r="C130" s="73" t="s">
        <v>1195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1199</v>
      </c>
      <c r="B131" s="38">
        <v>-3000900</v>
      </c>
      <c r="C131" s="73" t="s">
        <v>1207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1208</v>
      </c>
      <c r="B132" s="38">
        <v>-1000500</v>
      </c>
      <c r="C132" s="73" t="s">
        <v>1207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1208</v>
      </c>
      <c r="B133" s="38">
        <v>100000</v>
      </c>
      <c r="C133" s="73" t="s">
        <v>1209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1211</v>
      </c>
      <c r="B134" s="38">
        <v>-200000</v>
      </c>
      <c r="C134" s="73" t="s">
        <v>1212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1215</v>
      </c>
      <c r="B135" s="38">
        <v>-2200000</v>
      </c>
      <c r="C135" s="73" t="s">
        <v>1219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1225</v>
      </c>
      <c r="B136" s="38">
        <v>-905500</v>
      </c>
      <c r="C136" s="73" t="s">
        <v>1226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1235</v>
      </c>
      <c r="B137" s="38">
        <v>1500000</v>
      </c>
      <c r="C137" s="73" t="s">
        <v>1236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3659</v>
      </c>
      <c r="B138" s="38">
        <v>-1000500</v>
      </c>
      <c r="C138" s="73" t="s">
        <v>1222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3659</v>
      </c>
      <c r="B139" s="38">
        <v>-365000</v>
      </c>
      <c r="C139" s="73" t="s">
        <v>3661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3664</v>
      </c>
      <c r="B140" s="38">
        <v>23000000</v>
      </c>
      <c r="C140" s="73" t="s">
        <v>3665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3667</v>
      </c>
      <c r="B141" s="38">
        <v>1800000</v>
      </c>
      <c r="C141" s="73" t="s">
        <v>3665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3680</v>
      </c>
      <c r="B142" s="38">
        <v>200000</v>
      </c>
      <c r="C142" s="73" t="s">
        <v>3665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3668</v>
      </c>
      <c r="B143" s="38">
        <v>-3200900</v>
      </c>
      <c r="C143" s="73" t="s">
        <v>3669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3672</v>
      </c>
      <c r="B144" s="38">
        <v>-3020900</v>
      </c>
      <c r="C144" s="73" t="s">
        <v>3673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3674</v>
      </c>
      <c r="B145" s="38">
        <v>72533</v>
      </c>
      <c r="C145" s="73" t="s">
        <v>3677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3681</v>
      </c>
      <c r="B146" s="38">
        <v>-3000900</v>
      </c>
      <c r="C146" s="73" t="s">
        <v>1207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3697</v>
      </c>
      <c r="B147" s="38">
        <v>-3001400</v>
      </c>
      <c r="C147" s="73" t="s">
        <v>3699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3697</v>
      </c>
      <c r="B148" s="38">
        <v>-216910</v>
      </c>
      <c r="C148" s="73" t="s">
        <v>3702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3703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3716</v>
      </c>
      <c r="B150" s="38">
        <v>5900000</v>
      </c>
      <c r="C150" s="73" t="s">
        <v>3717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3770</v>
      </c>
      <c r="B151" s="38">
        <v>17000000</v>
      </c>
      <c r="C151" s="73" t="s">
        <v>3771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3770</v>
      </c>
      <c r="B152" s="38">
        <v>-1000</v>
      </c>
      <c r="C152" s="73" t="s">
        <v>3772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3774</v>
      </c>
      <c r="B153" s="38">
        <v>3000000</v>
      </c>
      <c r="C153" s="73" t="s">
        <v>3777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3774</v>
      </c>
      <c r="B154" s="38">
        <v>-18011000</v>
      </c>
      <c r="C154" s="73" t="s">
        <v>3779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3774</v>
      </c>
      <c r="B155" s="38">
        <v>-15600000</v>
      </c>
      <c r="C155" s="73" t="s">
        <v>3778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3774</v>
      </c>
      <c r="B156" s="38">
        <v>-1400500</v>
      </c>
      <c r="C156" s="73" t="s">
        <v>3780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3774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3782</v>
      </c>
      <c r="B158" s="38">
        <v>3000000</v>
      </c>
      <c r="C158" s="73" t="s">
        <v>3783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3789</v>
      </c>
      <c r="B159" s="38">
        <v>1000000</v>
      </c>
      <c r="C159" s="73" t="s">
        <v>3665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3788</v>
      </c>
      <c r="B160" s="38">
        <v>-4500000</v>
      </c>
      <c r="C160" s="73" t="s">
        <v>3790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3788</v>
      </c>
      <c r="B161" s="38">
        <v>3000000</v>
      </c>
      <c r="C161" s="73" t="s">
        <v>3791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3788</v>
      </c>
      <c r="B162" s="38">
        <v>-3000000</v>
      </c>
      <c r="C162" s="73" t="s">
        <v>3790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3806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3803</v>
      </c>
      <c r="B164" s="38">
        <v>1160000</v>
      </c>
      <c r="C164" s="73" t="s">
        <v>3810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3807</v>
      </c>
      <c r="B165" s="38">
        <v>-526350</v>
      </c>
      <c r="C165" s="73" t="s">
        <v>3808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3881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3885</v>
      </c>
      <c r="B167" s="38">
        <v>785000</v>
      </c>
      <c r="C167" s="73" t="s">
        <v>3888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3885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3889</v>
      </c>
      <c r="B169" s="38">
        <v>-450000</v>
      </c>
      <c r="C169" s="73" t="s">
        <v>1109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3889</v>
      </c>
      <c r="B170" s="38">
        <v>3000000</v>
      </c>
      <c r="C170" s="73" t="s">
        <v>3893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3889</v>
      </c>
      <c r="B171" s="38">
        <v>-35000</v>
      </c>
      <c r="C171" s="73" t="s">
        <v>3896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3897</v>
      </c>
      <c r="B172" s="38">
        <v>2500000</v>
      </c>
      <c r="C172" s="73" t="s">
        <v>3893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3901</v>
      </c>
      <c r="B173" s="38">
        <v>-130640</v>
      </c>
      <c r="C173" s="73" t="s">
        <v>3902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3914</v>
      </c>
      <c r="B174" s="38">
        <v>-4800000</v>
      </c>
      <c r="C174" s="73" t="s">
        <v>3915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3914</v>
      </c>
      <c r="B175" s="38">
        <v>-320000</v>
      </c>
      <c r="C175" s="73" t="s">
        <v>3916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3914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3952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3952</v>
      </c>
      <c r="B178" s="38">
        <v>-100000</v>
      </c>
      <c r="C178" s="73" t="s">
        <v>3953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3957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3960</v>
      </c>
      <c r="B180" s="38">
        <v>-39030</v>
      </c>
      <c r="C180" s="73" t="s">
        <v>3961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3966</v>
      </c>
      <c r="B181" s="38">
        <v>-32000</v>
      </c>
      <c r="C181" s="73" t="s">
        <v>3967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3970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3972</v>
      </c>
      <c r="B183" s="38">
        <v>-20000</v>
      </c>
      <c r="C183" s="73" t="s">
        <v>3973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990</v>
      </c>
      <c r="B184" s="38">
        <v>-8185</v>
      </c>
      <c r="C184" s="73" t="s">
        <v>3976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3980</v>
      </c>
      <c r="B185" s="38">
        <v>-60100</v>
      </c>
      <c r="C185" s="73" t="s">
        <v>3981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3980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3996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4005</v>
      </c>
      <c r="B188" s="38">
        <v>-16000</v>
      </c>
      <c r="C188" s="73" t="s">
        <v>4006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4008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4014</v>
      </c>
      <c r="B190" s="38">
        <v>-10350</v>
      </c>
      <c r="C190" s="73" t="s">
        <v>4015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4254</v>
      </c>
      <c r="B191" s="38">
        <v>-5000</v>
      </c>
      <c r="C191" s="73" t="s">
        <v>4255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60"/>
  <sheetViews>
    <sheetView tabSelected="1" topLeftCell="W80" zoomScaleNormal="100" workbookViewId="0">
      <selection activeCell="AJ109" sqref="AJ10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22.1406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24.5703125" bestFit="1" customWidth="1"/>
    <col min="18" max="18" width="16.140625" bestFit="1" customWidth="1"/>
    <col min="19" max="19" width="22.5703125" bestFit="1" customWidth="1"/>
    <col min="20" max="20" width="44.85546875" bestFit="1" customWidth="1"/>
    <col min="21" max="21" width="16.1406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25.7109375" bestFit="1" customWidth="1"/>
    <col min="28" max="28" width="16.140625" bestFit="1" customWidth="1"/>
    <col min="29" max="29" width="17" customWidth="1"/>
    <col min="30" max="30" width="3.85546875" bestFit="1" customWidth="1"/>
    <col min="31" max="31" width="13.85546875" style="96" bestFit="1" customWidth="1"/>
    <col min="32" max="32" width="16.140625" style="96" bestFit="1" customWidth="1"/>
    <col min="35" max="35" width="21.42578125" bestFit="1" customWidth="1"/>
    <col min="36" max="36" width="16.140625" bestFit="1" customWidth="1"/>
    <col min="37" max="37" width="19.140625" bestFit="1" customWidth="1"/>
    <col min="38" max="38" width="16.85546875" bestFit="1" customWidth="1"/>
    <col min="39" max="39" width="18.5703125" bestFit="1" customWidth="1"/>
    <col min="40" max="40" width="23.7109375" bestFit="1" customWidth="1"/>
    <col min="43" max="43" width="6.28515625" bestFit="1" customWidth="1"/>
    <col min="44" max="44" width="15.7109375" bestFit="1" customWidth="1"/>
    <col min="45" max="45" width="9.7109375" bestFit="1" customWidth="1"/>
    <col min="46" max="46" width="36.42578125" style="96" bestFit="1" customWidth="1"/>
    <col min="47" max="47" width="38.42578125" style="96" bestFit="1" customWidth="1"/>
    <col min="48" max="48" width="15" bestFit="1" customWidth="1"/>
    <col min="49" max="49" width="15.140625" bestFit="1" customWidth="1"/>
    <col min="50" max="50" width="8.7109375" bestFit="1" customWidth="1"/>
    <col min="51" max="51" width="16.85546875" bestFit="1" customWidth="1"/>
    <col min="52" max="52" width="36.7109375" customWidth="1"/>
    <col min="53" max="53" width="15.140625" bestFit="1" customWidth="1"/>
    <col min="54" max="54" width="32.28515625" bestFit="1" customWidth="1"/>
  </cols>
  <sheetData>
    <row r="1" spans="1:46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930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6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2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933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6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1119</v>
      </c>
      <c r="N3" s="29">
        <v>46000000</v>
      </c>
      <c r="O3" s="29">
        <v>40000000</v>
      </c>
      <c r="P3" s="11" t="s">
        <v>931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6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6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Q5" s="99" t="s">
        <v>1077</v>
      </c>
      <c r="AR5" s="99" t="s">
        <v>267</v>
      </c>
      <c r="AS5" s="99" t="s">
        <v>180</v>
      </c>
      <c r="AT5" s="99"/>
    </row>
    <row r="6" spans="1:46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-E100*12</f>
        <v>-40599996</v>
      </c>
      <c r="O6" s="29">
        <v>-25000000</v>
      </c>
      <c r="P6" s="11" t="s">
        <v>932</v>
      </c>
      <c r="R6" s="115"/>
      <c r="S6" s="116"/>
      <c r="T6" s="116"/>
      <c r="U6" s="116"/>
      <c r="V6" s="115"/>
      <c r="W6" s="115"/>
      <c r="X6" s="116"/>
      <c r="Y6" s="115"/>
      <c r="Z6" s="115"/>
      <c r="AQ6" s="99">
        <v>1</v>
      </c>
      <c r="AR6" s="170">
        <v>5000000</v>
      </c>
      <c r="AS6" s="99" t="s">
        <v>4153</v>
      </c>
      <c r="AT6" s="99" t="s">
        <v>4184</v>
      </c>
    </row>
    <row r="7" spans="1:46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Q7" s="99">
        <v>2</v>
      </c>
      <c r="AR7" s="170">
        <v>13000000</v>
      </c>
      <c r="AS7" s="99" t="s">
        <v>4160</v>
      </c>
      <c r="AT7" s="99" t="s">
        <v>4185</v>
      </c>
    </row>
    <row r="8" spans="1:46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Q8" s="99">
        <v>3</v>
      </c>
      <c r="AR8" s="170">
        <v>-168093</v>
      </c>
      <c r="AS8" s="99" t="s">
        <v>4175</v>
      </c>
      <c r="AT8" s="99" t="s">
        <v>4186</v>
      </c>
    </row>
    <row r="9" spans="1:46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Q9" s="99">
        <v>4</v>
      </c>
      <c r="AR9" s="170">
        <v>-2000000</v>
      </c>
      <c r="AS9" s="99" t="s">
        <v>4356</v>
      </c>
      <c r="AT9" s="99" t="s">
        <v>4357</v>
      </c>
    </row>
    <row r="10" spans="1:46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Q10" s="99"/>
      <c r="AR10" s="170"/>
      <c r="AS10" s="99"/>
      <c r="AT10" s="99"/>
    </row>
    <row r="11" spans="1:46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Q11" s="99"/>
      <c r="AR11" s="170"/>
      <c r="AS11" s="99"/>
      <c r="AT11" s="99"/>
    </row>
    <row r="12" spans="1:46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Q12" s="99"/>
      <c r="AR12" s="170"/>
      <c r="AS12" s="99"/>
      <c r="AT12" s="99"/>
    </row>
    <row r="13" spans="1:46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Q13" s="99"/>
      <c r="AR13" s="170"/>
      <c r="AS13" s="99"/>
      <c r="AT13" s="99"/>
    </row>
    <row r="14" spans="1:46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1064</v>
      </c>
      <c r="L14" s="25"/>
      <c r="O14" s="25"/>
      <c r="P14" s="169" t="s">
        <v>1117</v>
      </c>
      <c r="Q14" s="169" t="s">
        <v>4379</v>
      </c>
      <c r="V14" s="115"/>
      <c r="W14" s="115"/>
      <c r="X14" s="116"/>
      <c r="Y14" s="115"/>
      <c r="Z14" s="115"/>
      <c r="AQ14" s="99"/>
      <c r="AR14" s="170">
        <f>SUM(AR6:AR12)</f>
        <v>15831907</v>
      </c>
      <c r="AS14" s="99"/>
      <c r="AT14" s="180" t="s">
        <v>4358</v>
      </c>
    </row>
    <row r="15" spans="1:46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1157</v>
      </c>
      <c r="K15" s="169" t="s">
        <v>451</v>
      </c>
      <c r="L15" s="169" t="s">
        <v>452</v>
      </c>
      <c r="M15" s="169"/>
      <c r="N15" s="169" t="s">
        <v>751</v>
      </c>
      <c r="P15" s="170">
        <v>3350000</v>
      </c>
      <c r="Q15" s="169">
        <v>28</v>
      </c>
      <c r="V15" s="115"/>
      <c r="W15" s="115"/>
      <c r="X15" s="116"/>
      <c r="Y15" s="115"/>
      <c r="Z15" s="115"/>
      <c r="AQ15" s="99"/>
      <c r="AR15" s="99" t="s">
        <v>6</v>
      </c>
      <c r="AS15" s="99"/>
      <c r="AT15" s="99"/>
    </row>
    <row r="16" spans="1:46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3676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Q16" s="96"/>
      <c r="AR16" s="96"/>
      <c r="AS16" s="96"/>
    </row>
    <row r="17" spans="1:5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3795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سارا!D270</f>
        <v>118041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Q17" s="96"/>
      <c r="AR17" s="96"/>
      <c r="AS17" s="96"/>
    </row>
    <row r="18" spans="1:5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3958</v>
      </c>
      <c r="K18" s="169" t="s">
        <v>683</v>
      </c>
      <c r="L18" s="117">
        <v>1000000</v>
      </c>
      <c r="M18" s="169" t="s">
        <v>4081</v>
      </c>
      <c r="N18" s="113">
        <v>35695</v>
      </c>
      <c r="Q18" s="169" t="s">
        <v>4303</v>
      </c>
      <c r="R18" s="169" t="s">
        <v>25</v>
      </c>
      <c r="S18" s="169"/>
      <c r="T18" s="113"/>
      <c r="U18" s="99"/>
      <c r="V18" s="99"/>
      <c r="W18" s="99"/>
      <c r="X18" s="99"/>
      <c r="Y18" s="115"/>
      <c r="Z18" s="115"/>
      <c r="AP18" s="96"/>
      <c r="AQ18" s="96"/>
      <c r="AR18" s="96"/>
      <c r="AS18" s="96"/>
      <c r="AV18" s="96"/>
      <c r="AW18" s="96"/>
      <c r="AX18" s="96"/>
      <c r="AY18" s="96"/>
      <c r="AZ18" s="96"/>
      <c r="BA18" s="96"/>
      <c r="BB18" s="96"/>
    </row>
    <row r="19" spans="1:54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4140</v>
      </c>
      <c r="K19" s="169"/>
      <c r="L19" s="117"/>
      <c r="M19" s="169"/>
      <c r="N19" s="113"/>
      <c r="O19" s="96"/>
      <c r="P19" s="96"/>
      <c r="Q19" s="169" t="s">
        <v>267</v>
      </c>
      <c r="R19" s="169" t="s">
        <v>180</v>
      </c>
      <c r="S19" s="169" t="s">
        <v>183</v>
      </c>
      <c r="T19" s="169" t="s">
        <v>8</v>
      </c>
      <c r="U19" s="169" t="s">
        <v>4378</v>
      </c>
      <c r="V19" s="73" t="s">
        <v>4380</v>
      </c>
      <c r="W19" s="32">
        <v>2</v>
      </c>
      <c r="X19" s="32">
        <v>4</v>
      </c>
      <c r="Y19" s="116"/>
      <c r="Z19" s="115"/>
      <c r="AH19" s="99" t="s">
        <v>3643</v>
      </c>
      <c r="AI19" s="99" t="s">
        <v>180</v>
      </c>
      <c r="AJ19" s="99" t="s">
        <v>267</v>
      </c>
      <c r="AK19" s="69" t="s">
        <v>4061</v>
      </c>
      <c r="AL19" s="69" t="s">
        <v>4053</v>
      </c>
      <c r="AM19" s="69" t="s">
        <v>282</v>
      </c>
      <c r="AN19" s="99" t="s">
        <v>452</v>
      </c>
      <c r="AP19" s="96"/>
      <c r="AQ19" s="96"/>
      <c r="AR19" s="96"/>
      <c r="AS19" s="96"/>
      <c r="AV19" s="96"/>
      <c r="AW19" s="96"/>
      <c r="AX19" s="96"/>
      <c r="AY19" s="96"/>
      <c r="AZ19" s="96"/>
      <c r="BA19" s="96"/>
      <c r="BB19" s="96"/>
    </row>
    <row r="20" spans="1:54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4141</v>
      </c>
      <c r="K20" s="169"/>
      <c r="L20" s="117"/>
      <c r="M20" s="169" t="s">
        <v>4479</v>
      </c>
      <c r="N20" s="113">
        <v>0</v>
      </c>
      <c r="O20" s="99" t="s">
        <v>937</v>
      </c>
      <c r="P20" s="99" t="s">
        <v>3931</v>
      </c>
      <c r="Q20" s="170">
        <v>9268987</v>
      </c>
      <c r="R20" s="169" t="s">
        <v>4175</v>
      </c>
      <c r="S20" s="196">
        <f>S54</f>
        <v>92</v>
      </c>
      <c r="T20" s="169" t="s">
        <v>4319</v>
      </c>
      <c r="U20" s="169">
        <v>192.1</v>
      </c>
      <c r="V20" s="169">
        <f>U20*(1+$N$81+$Q$15*S20/36500)</f>
        <v>207.80904328767124</v>
      </c>
      <c r="W20" s="32">
        <f t="shared" ref="W20:W32" si="4">V20*(1+$W$19/100)</f>
        <v>211.96522415342469</v>
      </c>
      <c r="X20" s="32">
        <f t="shared" ref="X20:X32" si="5">V20*(1+$X$19/100)</f>
        <v>216.1214050191781</v>
      </c>
      <c r="Y20" s="115"/>
      <c r="Z20" s="115"/>
      <c r="AH20" s="99">
        <v>1</v>
      </c>
      <c r="AI20" s="113" t="s">
        <v>1108</v>
      </c>
      <c r="AJ20" s="113">
        <v>18000000</v>
      </c>
      <c r="AK20" s="99">
        <v>1</v>
      </c>
      <c r="AL20" s="99">
        <f>AL21+AK20</f>
        <v>258</v>
      </c>
      <c r="AM20" s="113">
        <f>AJ20*AL20</f>
        <v>4644000000</v>
      </c>
      <c r="AN20" s="99"/>
      <c r="AP20" s="96"/>
      <c r="AQ20" s="96"/>
      <c r="AR20" s="96"/>
      <c r="AS20" s="96"/>
      <c r="AV20" s="96"/>
      <c r="AW20" s="96"/>
      <c r="AX20" s="96"/>
      <c r="AY20" s="96"/>
      <c r="AZ20" s="96"/>
      <c r="BA20" s="96"/>
      <c r="BB20" s="96"/>
    </row>
    <row r="21" spans="1:54">
      <c r="A21" s="60">
        <v>97</v>
      </c>
      <c r="B21" s="11">
        <v>19</v>
      </c>
      <c r="C21" s="50">
        <f t="shared" si="1"/>
        <v>3874548.5496936501</v>
      </c>
      <c r="D21" s="117">
        <f t="shared" si="3"/>
        <v>3147407.2465319652</v>
      </c>
      <c r="E21" s="117">
        <v>262000000</v>
      </c>
      <c r="F21" s="117">
        <v>284066000</v>
      </c>
      <c r="G21" s="29">
        <f t="shared" si="0"/>
        <v>-22066000</v>
      </c>
      <c r="H21" s="11" t="s">
        <v>4210</v>
      </c>
      <c r="J21" s="25"/>
      <c r="K21" s="169" t="s">
        <v>4492</v>
      </c>
      <c r="L21" s="117">
        <f>-N31</f>
        <v>75732339.874192923</v>
      </c>
      <c r="M21" s="169" t="s">
        <v>4311</v>
      </c>
      <c r="N21" s="113">
        <f t="shared" ref="N21:N28" si="6">O21*P21</f>
        <v>11889222.6</v>
      </c>
      <c r="O21" s="99">
        <v>72231</v>
      </c>
      <c r="P21" s="190">
        <f>P42</f>
        <v>164.6</v>
      </c>
      <c r="Q21" s="170">
        <v>1450345</v>
      </c>
      <c r="R21" s="169" t="s">
        <v>4315</v>
      </c>
      <c r="S21" s="196">
        <f>S20-36</f>
        <v>56</v>
      </c>
      <c r="T21" s="169" t="s">
        <v>4320</v>
      </c>
      <c r="U21" s="169">
        <v>313.7</v>
      </c>
      <c r="V21" s="169">
        <f>U21*(1+$N$81+$Q$15*S21/36500)</f>
        <v>330.68964821917808</v>
      </c>
      <c r="W21" s="32">
        <f t="shared" si="4"/>
        <v>337.30344118356163</v>
      </c>
      <c r="X21" s="32">
        <f t="shared" si="5"/>
        <v>343.91723414794524</v>
      </c>
      <c r="Y21" s="115"/>
      <c r="Z21" s="115"/>
      <c r="AH21" s="99">
        <v>2</v>
      </c>
      <c r="AI21" s="113" t="s">
        <v>1110</v>
      </c>
      <c r="AJ21" s="113">
        <v>2500000</v>
      </c>
      <c r="AK21" s="99">
        <v>1</v>
      </c>
      <c r="AL21" s="99">
        <f t="shared" ref="AL21:AL63" si="7">AL22+AK21</f>
        <v>257</v>
      </c>
      <c r="AM21" s="113">
        <f t="shared" ref="AM21:AM101" si="8">AJ21*AL21</f>
        <v>642500000</v>
      </c>
      <c r="AN21" s="99"/>
      <c r="AP21" s="96"/>
      <c r="AQ21" s="96"/>
      <c r="AR21" s="96"/>
      <c r="AS21" s="96"/>
      <c r="AV21" s="96"/>
      <c r="AW21" s="96"/>
      <c r="AX21" s="96"/>
      <c r="AY21" s="96"/>
      <c r="AZ21" s="96"/>
      <c r="BA21" s="96"/>
      <c r="BB21" s="96"/>
    </row>
    <row r="22" spans="1:5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>
        <f>L61</f>
        <v>232037802.87419295</v>
      </c>
      <c r="G22" s="95">
        <f t="shared" si="0"/>
        <v>35936609.842000335</v>
      </c>
      <c r="H22" s="11"/>
      <c r="I22" s="96"/>
      <c r="J22" s="96"/>
      <c r="K22" s="169" t="s">
        <v>4495</v>
      </c>
      <c r="L22" s="117">
        <f>-'دی 97'!D57</f>
        <v>-2968739</v>
      </c>
      <c r="M22" s="169" t="s">
        <v>4323</v>
      </c>
      <c r="N22" s="113">
        <f t="shared" si="6"/>
        <v>8106537.5999999996</v>
      </c>
      <c r="O22" s="99">
        <v>28504</v>
      </c>
      <c r="P22" s="190">
        <f>P44</f>
        <v>284.39999999999998</v>
      </c>
      <c r="Q22" s="170">
        <v>400069</v>
      </c>
      <c r="R22" s="169" t="s">
        <v>4321</v>
      </c>
      <c r="S22" s="196">
        <f>S21-1</f>
        <v>55</v>
      </c>
      <c r="T22" s="169" t="s">
        <v>4322</v>
      </c>
      <c r="U22" s="169">
        <v>314.8</v>
      </c>
      <c r="V22" s="169">
        <f>U22*(1+$N$81+$Q$15*S22/36500)</f>
        <v>331.60773260273982</v>
      </c>
      <c r="W22" s="32">
        <f t="shared" si="4"/>
        <v>338.23988725479461</v>
      </c>
      <c r="X22" s="32">
        <f t="shared" si="5"/>
        <v>344.8720419068494</v>
      </c>
      <c r="Y22" s="115"/>
      <c r="Z22" s="115"/>
      <c r="AH22" s="99">
        <v>3</v>
      </c>
      <c r="AI22" s="113" t="s">
        <v>1120</v>
      </c>
      <c r="AJ22" s="113">
        <v>8000000</v>
      </c>
      <c r="AK22" s="99">
        <v>1</v>
      </c>
      <c r="AL22" s="99">
        <f t="shared" si="7"/>
        <v>256</v>
      </c>
      <c r="AM22" s="113">
        <f t="shared" si="8"/>
        <v>2048000000</v>
      </c>
      <c r="AN22" s="99"/>
      <c r="AP22" s="96"/>
      <c r="AQ22" s="96"/>
      <c r="AR22" s="96"/>
      <c r="AS22" s="96"/>
      <c r="AV22" s="96"/>
      <c r="AW22" s="96"/>
      <c r="AX22" s="96"/>
      <c r="AY22" s="96"/>
      <c r="AZ22" s="96"/>
      <c r="BA22" s="96"/>
      <c r="BB22" s="96"/>
    </row>
    <row r="23" spans="1:5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 t="s">
        <v>25</v>
      </c>
      <c r="I23" s="96"/>
      <c r="J23" s="96"/>
      <c r="K23" s="169" t="s">
        <v>456</v>
      </c>
      <c r="L23" s="117">
        <v>1000</v>
      </c>
      <c r="M23" s="169" t="s">
        <v>4410</v>
      </c>
      <c r="N23" s="113">
        <f t="shared" si="6"/>
        <v>3346272.6</v>
      </c>
      <c r="O23" s="99">
        <v>781</v>
      </c>
      <c r="P23" s="99">
        <f>P45</f>
        <v>4284.6000000000004</v>
      </c>
      <c r="Q23" s="170">
        <v>7118256</v>
      </c>
      <c r="R23" s="169" t="s">
        <v>4321</v>
      </c>
      <c r="S23" s="196">
        <f>S22</f>
        <v>55</v>
      </c>
      <c r="T23" s="169" t="s">
        <v>4590</v>
      </c>
      <c r="U23" s="169">
        <v>313</v>
      </c>
      <c r="V23" s="169">
        <f>U23*(1+$N$81+$Q$15*S23/36500)</f>
        <v>329.71162739726032</v>
      </c>
      <c r="W23" s="32">
        <f t="shared" si="4"/>
        <v>336.30585994520555</v>
      </c>
      <c r="X23" s="32">
        <f t="shared" si="5"/>
        <v>342.90009249315074</v>
      </c>
      <c r="Y23" s="96"/>
      <c r="Z23" s="96"/>
      <c r="AH23" s="99">
        <v>4</v>
      </c>
      <c r="AI23" s="113" t="s">
        <v>4057</v>
      </c>
      <c r="AJ23" s="113">
        <v>-79552</v>
      </c>
      <c r="AK23" s="99">
        <v>1</v>
      </c>
      <c r="AL23" s="99">
        <f t="shared" si="7"/>
        <v>255</v>
      </c>
      <c r="AM23" s="113">
        <f t="shared" si="8"/>
        <v>-20285760</v>
      </c>
      <c r="AN23" s="99"/>
      <c r="AP23" s="96"/>
      <c r="AQ23" s="96"/>
      <c r="AR23" s="96"/>
      <c r="AS23" s="96"/>
      <c r="AV23" s="96"/>
      <c r="AW23" s="96"/>
      <c r="AX23" s="96"/>
      <c r="AY23" s="96"/>
      <c r="AZ23" s="96"/>
      <c r="BA23" s="96"/>
      <c r="BB23" s="96"/>
    </row>
    <row r="24" spans="1:5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4554</v>
      </c>
      <c r="N24" s="113">
        <f t="shared" si="6"/>
        <v>34981.200000000004</v>
      </c>
      <c r="O24" s="69">
        <v>79</v>
      </c>
      <c r="P24" s="99">
        <f>P47</f>
        <v>442.8</v>
      </c>
      <c r="Q24" s="170">
        <v>595156</v>
      </c>
      <c r="R24" s="169" t="s">
        <v>4408</v>
      </c>
      <c r="S24" s="197">
        <f>S23-16</f>
        <v>39</v>
      </c>
      <c r="T24" s="169" t="s">
        <v>4411</v>
      </c>
      <c r="U24" s="169">
        <v>5808.5</v>
      </c>
      <c r="V24" s="169">
        <f>U24*(1+$N$81+$Q$15*S24/36500)</f>
        <v>6047.3327890410956</v>
      </c>
      <c r="W24" s="32">
        <f t="shared" si="4"/>
        <v>6168.2794448219174</v>
      </c>
      <c r="X24" s="32">
        <f t="shared" si="5"/>
        <v>6289.2261006027393</v>
      </c>
      <c r="Y24" s="96"/>
      <c r="Z24" s="96"/>
      <c r="AH24" s="99">
        <v>5</v>
      </c>
      <c r="AI24" s="113" t="s">
        <v>1132</v>
      </c>
      <c r="AJ24" s="113">
        <v>165500</v>
      </c>
      <c r="AK24" s="99">
        <v>12</v>
      </c>
      <c r="AL24" s="99">
        <f t="shared" si="7"/>
        <v>254</v>
      </c>
      <c r="AM24" s="113">
        <f t="shared" si="8"/>
        <v>42037000</v>
      </c>
      <c r="AN24" s="99"/>
      <c r="AP24" s="96"/>
      <c r="AQ24" s="96"/>
      <c r="AR24" s="96"/>
      <c r="AS24" s="96"/>
      <c r="AV24" s="96"/>
      <c r="AW24" s="96"/>
      <c r="AX24" s="96"/>
      <c r="AY24" s="96"/>
      <c r="AZ24" s="96"/>
      <c r="BA24" s="96"/>
      <c r="BB24" s="96"/>
    </row>
    <row r="25" spans="1:5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69"/>
      <c r="N25" s="113"/>
      <c r="O25" s="69"/>
      <c r="P25" s="99"/>
      <c r="Q25" s="170">
        <v>1484689</v>
      </c>
      <c r="R25" s="169" t="s">
        <v>4446</v>
      </c>
      <c r="S25" s="169">
        <f>S24-7</f>
        <v>32</v>
      </c>
      <c r="T25" s="19" t="s">
        <v>4449</v>
      </c>
      <c r="U25" s="169">
        <v>5474</v>
      </c>
      <c r="V25" s="169">
        <f>U25*(1+$N$81+$Q$15*S25/36500)</f>
        <v>5669.6842520547953</v>
      </c>
      <c r="W25" s="32">
        <f t="shared" si="4"/>
        <v>5783.0779370958917</v>
      </c>
      <c r="X25" s="32">
        <f t="shared" si="5"/>
        <v>5896.4716221369872</v>
      </c>
      <c r="Y25" s="96"/>
      <c r="Z25" s="96" t="s">
        <v>25</v>
      </c>
      <c r="AH25" s="99">
        <v>6</v>
      </c>
      <c r="AI25" s="113" t="s">
        <v>1158</v>
      </c>
      <c r="AJ25" s="113">
        <v>-28830327</v>
      </c>
      <c r="AK25" s="99">
        <v>6</v>
      </c>
      <c r="AL25" s="99">
        <f t="shared" si="7"/>
        <v>242</v>
      </c>
      <c r="AM25" s="113">
        <f t="shared" si="8"/>
        <v>-6976939134</v>
      </c>
      <c r="AN25" s="99"/>
      <c r="AP25" s="96"/>
      <c r="AQ25" s="96"/>
      <c r="AR25" s="96"/>
      <c r="AS25" s="96"/>
      <c r="AV25" s="96"/>
      <c r="AW25" s="96"/>
      <c r="AX25" s="96"/>
      <c r="AY25" s="96"/>
      <c r="AZ25" s="96"/>
      <c r="BA25" s="96"/>
      <c r="BB25" s="96"/>
    </row>
    <row r="26" spans="1:5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4" t="s">
        <v>4481</v>
      </c>
      <c r="N26" s="113">
        <v>9</v>
      </c>
      <c r="O26" s="69"/>
      <c r="P26" s="99"/>
      <c r="Q26" s="170">
        <v>2197673</v>
      </c>
      <c r="R26" s="169" t="s">
        <v>4446</v>
      </c>
      <c r="S26" s="169">
        <f>S25</f>
        <v>32</v>
      </c>
      <c r="T26" s="19" t="s">
        <v>4450</v>
      </c>
      <c r="U26" s="169">
        <v>5349</v>
      </c>
      <c r="V26" s="169">
        <f>U26*(1+$N$81+$Q$15*S26/36500)</f>
        <v>5540.2157589041108</v>
      </c>
      <c r="W26" s="32">
        <f t="shared" si="4"/>
        <v>5651.0200740821929</v>
      </c>
      <c r="X26" s="32">
        <f t="shared" si="5"/>
        <v>5761.824389260275</v>
      </c>
      <c r="Y26" s="96"/>
      <c r="Z26" s="96"/>
      <c r="AH26" s="99">
        <v>7</v>
      </c>
      <c r="AI26" s="113" t="s">
        <v>1183</v>
      </c>
      <c r="AJ26" s="113">
        <v>18500000</v>
      </c>
      <c r="AK26" s="99">
        <v>1</v>
      </c>
      <c r="AL26" s="99">
        <f t="shared" si="7"/>
        <v>236</v>
      </c>
      <c r="AM26" s="113">
        <f t="shared" si="8"/>
        <v>4366000000</v>
      </c>
      <c r="AN26" s="99"/>
      <c r="AP26" s="96"/>
      <c r="AT26"/>
      <c r="AV26" s="96"/>
      <c r="AW26" s="96"/>
      <c r="AX26" s="96"/>
      <c r="AY26" s="96"/>
      <c r="AZ26" s="96"/>
      <c r="BA26" s="96"/>
      <c r="BB26" s="96"/>
    </row>
    <row r="27" spans="1:5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94" t="s">
        <v>4455</v>
      </c>
      <c r="N27" s="113">
        <f t="shared" si="6"/>
        <v>2692691.4</v>
      </c>
      <c r="O27" s="69">
        <v>16359</v>
      </c>
      <c r="P27" s="99">
        <f>P42</f>
        <v>164.6</v>
      </c>
      <c r="Q27" s="170">
        <v>1353959</v>
      </c>
      <c r="R27" s="169" t="s">
        <v>4446</v>
      </c>
      <c r="S27" s="204">
        <f>S26</f>
        <v>32</v>
      </c>
      <c r="T27" s="19" t="s">
        <v>4497</v>
      </c>
      <c r="U27" s="169">
        <v>192.2</v>
      </c>
      <c r="V27" s="169">
        <f>U27*(1+$N$81+$Q$15*S27/36500)</f>
        <v>199.07075506849318</v>
      </c>
      <c r="W27" s="32">
        <f t="shared" si="4"/>
        <v>203.05217016986305</v>
      </c>
      <c r="X27" s="32">
        <f t="shared" si="5"/>
        <v>207.03358527123291</v>
      </c>
      <c r="Y27" s="96"/>
      <c r="Z27" s="96"/>
      <c r="AH27" s="99">
        <v>8</v>
      </c>
      <c r="AI27" s="113" t="s">
        <v>1192</v>
      </c>
      <c r="AJ27" s="113">
        <v>-18550000</v>
      </c>
      <c r="AK27" s="99">
        <v>1</v>
      </c>
      <c r="AL27" s="99">
        <f t="shared" si="7"/>
        <v>235</v>
      </c>
      <c r="AM27" s="113">
        <f t="shared" si="8"/>
        <v>-4359250000</v>
      </c>
      <c r="AN27" s="99"/>
      <c r="AP27" s="96"/>
      <c r="AT27"/>
      <c r="AV27" s="96"/>
      <c r="AW27" s="96"/>
      <c r="AX27" s="96"/>
      <c r="AY27" s="96"/>
      <c r="AZ27" s="96"/>
      <c r="BA27" s="96"/>
      <c r="BB27" s="96"/>
    </row>
    <row r="28" spans="1:5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94" t="s">
        <v>4554</v>
      </c>
      <c r="N28" s="113">
        <f t="shared" si="6"/>
        <v>35424</v>
      </c>
      <c r="O28" s="36">
        <v>80</v>
      </c>
      <c r="P28" s="99">
        <f>P47</f>
        <v>442.8</v>
      </c>
      <c r="Q28" s="170">
        <v>1614398</v>
      </c>
      <c r="R28" s="169" t="s">
        <v>4454</v>
      </c>
      <c r="S28" s="169">
        <f>S27-3</f>
        <v>29</v>
      </c>
      <c r="T28" s="19" t="s">
        <v>4551</v>
      </c>
      <c r="U28" s="169">
        <v>184.6</v>
      </c>
      <c r="V28" s="169">
        <f>U28*(1+$N$81+$Q$15*S28/36500)</f>
        <v>190.77423780821917</v>
      </c>
      <c r="W28" s="32">
        <f t="shared" si="4"/>
        <v>194.58972256438355</v>
      </c>
      <c r="X28" s="32">
        <f t="shared" si="5"/>
        <v>198.40520732054793</v>
      </c>
      <c r="Y28" s="96"/>
      <c r="Z28" s="96"/>
      <c r="AH28" s="99">
        <v>9</v>
      </c>
      <c r="AI28" s="113" t="s">
        <v>1199</v>
      </c>
      <c r="AJ28" s="113">
        <v>-64961</v>
      </c>
      <c r="AK28" s="99">
        <v>5</v>
      </c>
      <c r="AL28" s="99">
        <f t="shared" si="7"/>
        <v>234</v>
      </c>
      <c r="AM28" s="113">
        <f t="shared" si="8"/>
        <v>-15200874</v>
      </c>
      <c r="AN28" s="99"/>
      <c r="AP28" s="96"/>
      <c r="AT28" t="s">
        <v>25</v>
      </c>
      <c r="AV28" s="96"/>
      <c r="AW28" s="96"/>
      <c r="AX28" s="96"/>
      <c r="AY28" s="96"/>
      <c r="AZ28" s="96"/>
      <c r="BA28" s="96"/>
      <c r="BB28" s="96"/>
    </row>
    <row r="29" spans="1:5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 t="s">
        <v>25</v>
      </c>
      <c r="L29" s="117"/>
      <c r="M29" s="169"/>
      <c r="N29" s="113"/>
      <c r="P29" t="s">
        <v>25</v>
      </c>
      <c r="Q29" s="170">
        <v>24997</v>
      </c>
      <c r="R29" s="169" t="s">
        <v>4549</v>
      </c>
      <c r="S29" s="203">
        <f>S28-18</f>
        <v>11</v>
      </c>
      <c r="T29" s="169" t="s">
        <v>4556</v>
      </c>
      <c r="U29" s="169">
        <v>315</v>
      </c>
      <c r="V29" s="169">
        <f>U29*(1+$N$81+$Q$15*S29/36500)</f>
        <v>321.18608219178083</v>
      </c>
      <c r="W29" s="32">
        <f t="shared" si="4"/>
        <v>327.60980383561645</v>
      </c>
      <c r="X29" s="32">
        <f t="shared" si="5"/>
        <v>334.03352547945207</v>
      </c>
      <c r="Y29" s="96"/>
      <c r="Z29" s="96"/>
      <c r="AH29" s="99">
        <v>10</v>
      </c>
      <c r="AI29" s="113" t="s">
        <v>1215</v>
      </c>
      <c r="AJ29" s="113">
        <v>6400000</v>
      </c>
      <c r="AK29" s="99">
        <v>1</v>
      </c>
      <c r="AL29" s="99">
        <f t="shared" si="7"/>
        <v>229</v>
      </c>
      <c r="AM29" s="113">
        <f t="shared" si="8"/>
        <v>1465600000</v>
      </c>
      <c r="AN29" s="99"/>
      <c r="AP29" s="96"/>
      <c r="AV29" s="96"/>
      <c r="AW29" s="96"/>
      <c r="AX29" s="96"/>
      <c r="AY29" s="96"/>
      <c r="AZ29" s="96"/>
      <c r="BA29" s="96"/>
      <c r="BB29" s="96"/>
    </row>
    <row r="30" spans="1:5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 t="s">
        <v>756</v>
      </c>
      <c r="N30" s="113">
        <v>3000000</v>
      </c>
      <c r="O30" t="s">
        <v>25</v>
      </c>
      <c r="P30" t="s">
        <v>25</v>
      </c>
      <c r="Q30" s="170">
        <v>133576</v>
      </c>
      <c r="R30" s="169" t="s">
        <v>4565</v>
      </c>
      <c r="S30" s="203">
        <f>S29-4</f>
        <v>7</v>
      </c>
      <c r="T30" s="169" t="s">
        <v>4566</v>
      </c>
      <c r="U30" s="169">
        <v>166.2</v>
      </c>
      <c r="V30" s="169">
        <f>U30*(1+$N$81+$Q$15*S30/36500)</f>
        <v>168.95391123287672</v>
      </c>
      <c r="W30" s="32">
        <f t="shared" si="4"/>
        <v>172.33298945753427</v>
      </c>
      <c r="X30" s="32">
        <f t="shared" si="5"/>
        <v>175.71206768219179</v>
      </c>
      <c r="Y30" s="96"/>
      <c r="Z30" s="96"/>
      <c r="AH30" s="99">
        <v>11</v>
      </c>
      <c r="AI30" s="113" t="s">
        <v>4058</v>
      </c>
      <c r="AJ30" s="113">
        <v>-170000</v>
      </c>
      <c r="AK30" s="99">
        <v>5</v>
      </c>
      <c r="AL30" s="99">
        <f t="shared" si="7"/>
        <v>228</v>
      </c>
      <c r="AM30" s="113">
        <f t="shared" si="8"/>
        <v>-38760000</v>
      </c>
      <c r="AN30" s="99"/>
      <c r="AP30" s="96"/>
      <c r="AQ30" s="99" t="s">
        <v>1134</v>
      </c>
      <c r="AR30" s="99" t="s">
        <v>4246</v>
      </c>
      <c r="AS30" s="99" t="s">
        <v>937</v>
      </c>
      <c r="AT30" s="99" t="s">
        <v>180</v>
      </c>
      <c r="AU30" s="69" t="s">
        <v>8</v>
      </c>
      <c r="AV30" s="69" t="s">
        <v>267</v>
      </c>
      <c r="AW30" s="96"/>
      <c r="AX30" s="96"/>
      <c r="AY30" s="96"/>
      <c r="AZ30" s="96"/>
      <c r="BA30" s="96"/>
      <c r="BB30" s="96"/>
    </row>
    <row r="31" spans="1:5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918</v>
      </c>
      <c r="L31" s="117">
        <v>4800000</v>
      </c>
      <c r="M31" s="169" t="s">
        <v>4152</v>
      </c>
      <c r="N31" s="113">
        <f>-S101</f>
        <v>-75732339.874192923</v>
      </c>
      <c r="O31" s="96" t="s">
        <v>25</v>
      </c>
      <c r="P31" s="96" t="s">
        <v>25</v>
      </c>
      <c r="Q31" s="170">
        <v>220803</v>
      </c>
      <c r="R31" s="169" t="s">
        <v>4234</v>
      </c>
      <c r="S31" s="203">
        <f>S30-1</f>
        <v>6</v>
      </c>
      <c r="T31" s="169" t="s">
        <v>4574</v>
      </c>
      <c r="U31" s="169">
        <v>166</v>
      </c>
      <c r="V31" s="169">
        <f>U31*(1+$N$81+$Q$15*S31/36500)</f>
        <v>168.62325479452056</v>
      </c>
      <c r="W31" s="32">
        <f t="shared" si="4"/>
        <v>171.99571989041098</v>
      </c>
      <c r="X31" s="32">
        <f t="shared" si="5"/>
        <v>175.3681849863014</v>
      </c>
      <c r="Y31" s="96"/>
      <c r="Z31" s="96"/>
      <c r="AH31" s="99">
        <v>12</v>
      </c>
      <c r="AI31" s="113" t="s">
        <v>1235</v>
      </c>
      <c r="AJ31" s="113">
        <v>-6300000</v>
      </c>
      <c r="AK31" s="99">
        <v>1</v>
      </c>
      <c r="AL31" s="99">
        <f>AL32+AK31</f>
        <v>223</v>
      </c>
      <c r="AM31" s="113">
        <f t="shared" si="8"/>
        <v>-1404900000</v>
      </c>
      <c r="AN31" s="99"/>
      <c r="AP31" s="96"/>
      <c r="AQ31" s="99">
        <v>1</v>
      </c>
      <c r="AR31" s="170" t="s">
        <v>4247</v>
      </c>
      <c r="AS31" s="99">
        <v>18290</v>
      </c>
      <c r="AT31" s="99" t="s">
        <v>4175</v>
      </c>
      <c r="AU31" s="99" t="s">
        <v>4248</v>
      </c>
      <c r="AV31" s="170">
        <v>3465500</v>
      </c>
      <c r="AW31" s="96"/>
      <c r="AX31" s="96"/>
      <c r="AY31" s="96"/>
      <c r="AZ31" s="96"/>
      <c r="BA31" s="96"/>
      <c r="BB31" s="96"/>
    </row>
    <row r="32" spans="1:5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/>
      <c r="L32" s="117"/>
      <c r="M32" s="169" t="s">
        <v>753</v>
      </c>
      <c r="N32" s="113">
        <v>500000</v>
      </c>
      <c r="O32" s="96"/>
      <c r="P32" s="96"/>
      <c r="Q32" s="170">
        <v>1023940</v>
      </c>
      <c r="R32" s="169" t="s">
        <v>4579</v>
      </c>
      <c r="S32" s="203">
        <f>S31-2</f>
        <v>4</v>
      </c>
      <c r="T32" s="169" t="s">
        <v>4591</v>
      </c>
      <c r="U32" s="169">
        <v>160.19999999999999</v>
      </c>
      <c r="V32" s="169">
        <f>U32*(1+$N$81+$Q$15*S32/36500)</f>
        <v>162.48581260273974</v>
      </c>
      <c r="W32" s="32">
        <f t="shared" si="4"/>
        <v>165.73552885479455</v>
      </c>
      <c r="X32" s="32">
        <f t="shared" si="5"/>
        <v>168.98524510684933</v>
      </c>
      <c r="Y32" s="96"/>
      <c r="Z32" s="96"/>
      <c r="AH32" s="99">
        <v>13</v>
      </c>
      <c r="AI32" s="113" t="s">
        <v>1244</v>
      </c>
      <c r="AJ32" s="113">
        <v>-52015</v>
      </c>
      <c r="AK32" s="99">
        <v>16</v>
      </c>
      <c r="AL32" s="99">
        <f t="shared" si="7"/>
        <v>222</v>
      </c>
      <c r="AM32" s="113">
        <f t="shared" si="8"/>
        <v>-11547330</v>
      </c>
      <c r="AN32" s="99"/>
      <c r="AP32" s="96"/>
      <c r="AQ32" s="99">
        <v>2</v>
      </c>
      <c r="AR32" s="170" t="s">
        <v>4247</v>
      </c>
      <c r="AS32" s="99">
        <v>-24813</v>
      </c>
      <c r="AT32" s="99" t="s">
        <v>4244</v>
      </c>
      <c r="AU32" s="99" t="s">
        <v>4249</v>
      </c>
      <c r="AV32" s="170">
        <v>4995629</v>
      </c>
      <c r="AW32" s="96"/>
      <c r="AX32" s="96"/>
      <c r="AY32" s="96"/>
      <c r="AZ32" s="96"/>
      <c r="BA32" s="96"/>
      <c r="BB32" s="96"/>
    </row>
    <row r="33" spans="1:54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1086</v>
      </c>
      <c r="L33" s="117">
        <f>61*P15</f>
        <v>204350000</v>
      </c>
      <c r="M33" s="169" t="s">
        <v>760</v>
      </c>
      <c r="N33" s="113">
        <v>1200000</v>
      </c>
      <c r="O33" t="s">
        <v>25</v>
      </c>
      <c r="P33" t="s">
        <v>25</v>
      </c>
      <c r="Q33" s="170"/>
      <c r="R33" s="169"/>
      <c r="S33" s="169"/>
      <c r="T33" s="169"/>
      <c r="U33" s="169"/>
      <c r="V33" s="169" t="s">
        <v>25</v>
      </c>
      <c r="W33" s="32"/>
      <c r="X33" s="32"/>
      <c r="Y33" s="96"/>
      <c r="Z33" s="96"/>
      <c r="AH33" s="99">
        <v>14</v>
      </c>
      <c r="AI33" s="113" t="s">
        <v>3710</v>
      </c>
      <c r="AJ33" s="113">
        <v>20017400</v>
      </c>
      <c r="AK33" s="99">
        <v>0</v>
      </c>
      <c r="AL33" s="99">
        <f t="shared" si="7"/>
        <v>206</v>
      </c>
      <c r="AM33" s="113">
        <f t="shared" si="8"/>
        <v>4123584400</v>
      </c>
      <c r="AN33" s="99"/>
      <c r="AP33" s="96"/>
      <c r="AQ33" s="99">
        <v>3</v>
      </c>
      <c r="AR33" s="170" t="s">
        <v>4247</v>
      </c>
      <c r="AS33" s="99">
        <v>26189</v>
      </c>
      <c r="AT33" s="99" t="s">
        <v>4264</v>
      </c>
      <c r="AU33" s="99" t="s">
        <v>4265</v>
      </c>
      <c r="AV33" s="170">
        <v>5006890</v>
      </c>
      <c r="AW33" s="96"/>
      <c r="AX33" s="96"/>
      <c r="AY33" s="96"/>
      <c r="AZ33" s="96"/>
      <c r="BA33" s="96"/>
      <c r="BB33" s="96"/>
    </row>
    <row r="34" spans="1:54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4465</v>
      </c>
      <c r="L34" s="117">
        <v>-50000000</v>
      </c>
      <c r="M34" s="73"/>
      <c r="N34" s="113"/>
      <c r="O34" s="96"/>
      <c r="P34" s="96"/>
      <c r="Q34" s="170">
        <f>SUM(N21:N24)-SUM(Q20:Q33)</f>
        <v>-3509834</v>
      </c>
      <c r="R34" s="169"/>
      <c r="S34" s="169" t="s">
        <v>25</v>
      </c>
      <c r="T34" s="169"/>
      <c r="U34" s="169"/>
      <c r="V34" s="169"/>
      <c r="W34" s="32"/>
      <c r="X34" s="32"/>
      <c r="Y34" s="96"/>
      <c r="Z34" s="96"/>
      <c r="AH34" s="99">
        <v>15</v>
      </c>
      <c r="AI34" s="113" t="s">
        <v>3710</v>
      </c>
      <c r="AJ34" s="113">
        <v>1014466</v>
      </c>
      <c r="AK34" s="99">
        <v>12</v>
      </c>
      <c r="AL34" s="99">
        <f t="shared" si="7"/>
        <v>206</v>
      </c>
      <c r="AM34" s="113">
        <f t="shared" si="8"/>
        <v>208979996</v>
      </c>
      <c r="AN34" s="99"/>
      <c r="AP34" s="96"/>
      <c r="AQ34" s="99">
        <v>4</v>
      </c>
      <c r="AR34" s="170" t="s">
        <v>4247</v>
      </c>
      <c r="AS34" s="99">
        <v>-9552</v>
      </c>
      <c r="AT34" s="99" t="s">
        <v>4460</v>
      </c>
      <c r="AU34" s="99" t="s">
        <v>4515</v>
      </c>
      <c r="AV34" s="170">
        <v>1648594</v>
      </c>
      <c r="AW34" s="96"/>
      <c r="AX34" s="96"/>
      <c r="AY34" s="96"/>
      <c r="AZ34" s="96"/>
      <c r="BA34" s="96"/>
      <c r="BB34" s="96"/>
    </row>
    <row r="35" spans="1:54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4334</v>
      </c>
      <c r="L35" s="117">
        <v>-2000000</v>
      </c>
      <c r="M35" s="169" t="s">
        <v>1086</v>
      </c>
      <c r="N35" s="113">
        <f>60*P15</f>
        <v>201000000</v>
      </c>
      <c r="O35" s="96"/>
      <c r="P35" s="96"/>
      <c r="R35" s="115"/>
      <c r="S35" s="115" t="s">
        <v>25</v>
      </c>
      <c r="T35" s="115"/>
      <c r="U35" s="115"/>
      <c r="V35" s="115"/>
      <c r="W35" s="200"/>
      <c r="X35" s="200"/>
      <c r="Y35" s="96"/>
      <c r="Z35" s="96"/>
      <c r="AH35" s="99">
        <v>16</v>
      </c>
      <c r="AI35" s="113" t="s">
        <v>1146</v>
      </c>
      <c r="AJ35" s="113">
        <v>360000</v>
      </c>
      <c r="AK35" s="99">
        <v>2</v>
      </c>
      <c r="AL35" s="99">
        <f t="shared" si="7"/>
        <v>194</v>
      </c>
      <c r="AM35" s="113">
        <f t="shared" si="8"/>
        <v>69840000</v>
      </c>
      <c r="AN35" s="99"/>
      <c r="AP35" s="96"/>
      <c r="AQ35" s="99">
        <v>5</v>
      </c>
      <c r="AR35" s="170" t="s">
        <v>4247</v>
      </c>
      <c r="AS35" s="99">
        <v>-5492</v>
      </c>
      <c r="AT35" s="99" t="s">
        <v>4508</v>
      </c>
      <c r="AU35" s="99" t="s">
        <v>4514</v>
      </c>
      <c r="AV35" s="170"/>
      <c r="AW35" s="96"/>
      <c r="AX35" s="96"/>
      <c r="AY35" s="96"/>
      <c r="AZ35" s="96"/>
      <c r="BA35" s="96"/>
      <c r="BB35" s="96"/>
    </row>
    <row r="36" spans="1:54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4541</v>
      </c>
      <c r="L36" s="117">
        <v>-2000000</v>
      </c>
      <c r="M36" s="169" t="s">
        <v>4463</v>
      </c>
      <c r="N36" s="113">
        <v>-20000000</v>
      </c>
      <c r="O36" s="96"/>
      <c r="P36" s="96"/>
      <c r="Q36" s="96"/>
      <c r="R36" s="115"/>
      <c r="S36" s="115"/>
      <c r="T36" s="115" t="s">
        <v>25</v>
      </c>
      <c r="U36" s="115"/>
      <c r="V36" s="115"/>
      <c r="W36" s="200"/>
      <c r="X36" s="200"/>
      <c r="Y36" s="96"/>
      <c r="Z36" s="96"/>
      <c r="AH36" s="99">
        <v>17</v>
      </c>
      <c r="AI36" s="113" t="s">
        <v>3770</v>
      </c>
      <c r="AJ36" s="113">
        <v>-350000</v>
      </c>
      <c r="AK36" s="99">
        <v>0</v>
      </c>
      <c r="AL36" s="99">
        <f t="shared" si="7"/>
        <v>192</v>
      </c>
      <c r="AM36" s="113">
        <f t="shared" si="8"/>
        <v>-67200000</v>
      </c>
      <c r="AN36" s="99"/>
      <c r="AP36" s="96"/>
      <c r="AQ36" s="99">
        <v>6</v>
      </c>
      <c r="AR36" s="170" t="s">
        <v>4247</v>
      </c>
      <c r="AS36" s="99">
        <v>-1000</v>
      </c>
      <c r="AT36" s="99" t="s">
        <v>4549</v>
      </c>
      <c r="AU36" s="99" t="s">
        <v>4550</v>
      </c>
      <c r="AV36" s="170"/>
      <c r="AW36" s="96"/>
      <c r="AX36" s="96"/>
      <c r="AY36" s="96"/>
      <c r="AZ36" s="96"/>
      <c r="BA36" s="96"/>
      <c r="BB36" s="96"/>
    </row>
    <row r="37" spans="1:54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/>
      <c r="L37" s="117"/>
      <c r="M37" s="169" t="s">
        <v>4464</v>
      </c>
      <c r="N37" s="113">
        <v>-50000000</v>
      </c>
      <c r="O37" s="96"/>
      <c r="P37" s="96"/>
      <c r="Q37" s="169" t="s">
        <v>657</v>
      </c>
      <c r="R37" s="169"/>
      <c r="S37" s="169"/>
      <c r="T37" s="169"/>
      <c r="U37" s="169"/>
      <c r="V37" s="169"/>
      <c r="W37" s="32"/>
      <c r="X37" s="32"/>
      <c r="Y37" s="96"/>
      <c r="Z37" s="96"/>
      <c r="AH37" s="99">
        <v>18</v>
      </c>
      <c r="AI37" s="113" t="s">
        <v>3770</v>
      </c>
      <c r="AJ37" s="113">
        <v>1000</v>
      </c>
      <c r="AK37" s="99">
        <v>1</v>
      </c>
      <c r="AL37" s="99">
        <f t="shared" si="7"/>
        <v>192</v>
      </c>
      <c r="AM37" s="113">
        <f t="shared" si="8"/>
        <v>192000</v>
      </c>
      <c r="AN37" s="99"/>
      <c r="AP37" s="96"/>
      <c r="AQ37" s="183"/>
      <c r="AR37" s="184" t="s">
        <v>4250</v>
      </c>
      <c r="AS37" s="183"/>
      <c r="AT37" s="183"/>
      <c r="AU37" s="183"/>
      <c r="AV37" s="184"/>
      <c r="AW37" s="96"/>
      <c r="AX37" s="96"/>
      <c r="AY37" s="96"/>
      <c r="AZ37" s="96"/>
      <c r="BA37" s="96"/>
      <c r="BB37" s="96"/>
    </row>
    <row r="38" spans="1:54" ht="30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99" t="s">
        <v>4429</v>
      </c>
      <c r="L38" s="117">
        <v>3000000</v>
      </c>
      <c r="M38" s="169"/>
      <c r="N38" s="113"/>
      <c r="O38" s="96"/>
      <c r="P38" s="96"/>
      <c r="Q38" s="169" t="s">
        <v>267</v>
      </c>
      <c r="R38" s="169" t="s">
        <v>180</v>
      </c>
      <c r="S38" s="169" t="s">
        <v>183</v>
      </c>
      <c r="T38" s="169" t="s">
        <v>8</v>
      </c>
      <c r="U38" s="169" t="s">
        <v>4378</v>
      </c>
      <c r="V38" s="73" t="s">
        <v>4380</v>
      </c>
      <c r="W38" s="32">
        <v>2</v>
      </c>
      <c r="X38" s="32">
        <v>4</v>
      </c>
      <c r="Y38" s="96"/>
      <c r="Z38" s="96"/>
      <c r="AH38" s="99">
        <v>19</v>
      </c>
      <c r="AI38" s="113" t="s">
        <v>3774</v>
      </c>
      <c r="AJ38" s="113">
        <v>33610000</v>
      </c>
      <c r="AK38" s="99">
        <v>4</v>
      </c>
      <c r="AL38" s="99">
        <f t="shared" si="7"/>
        <v>191</v>
      </c>
      <c r="AM38" s="113">
        <f t="shared" si="8"/>
        <v>6419510000</v>
      </c>
      <c r="AN38" s="99"/>
      <c r="AP38" s="96"/>
      <c r="AQ38" s="183"/>
      <c r="AR38" s="184" t="s">
        <v>4247</v>
      </c>
      <c r="AS38" s="183">
        <f>SUM(AS31:AS36)</f>
        <v>3622</v>
      </c>
      <c r="AT38" s="183" t="s">
        <v>4460</v>
      </c>
      <c r="AU38" s="183" t="s">
        <v>4266</v>
      </c>
      <c r="AV38" s="184"/>
      <c r="AW38" s="96"/>
      <c r="AX38" s="96"/>
      <c r="AY38" s="96"/>
      <c r="AZ38" s="96"/>
      <c r="BA38" s="96"/>
      <c r="BB38" s="96"/>
    </row>
    <row r="39" spans="1:54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99"/>
      <c r="L39" s="117"/>
      <c r="M39" s="169" t="s">
        <v>4480</v>
      </c>
      <c r="N39" s="113">
        <v>3756305</v>
      </c>
      <c r="Q39" s="169">
        <v>0</v>
      </c>
      <c r="R39" s="169" t="s">
        <v>4175</v>
      </c>
      <c r="S39" s="169">
        <f>S54</f>
        <v>92</v>
      </c>
      <c r="T39" s="169"/>
      <c r="U39" s="169"/>
      <c r="V39" s="73"/>
      <c r="W39" s="32"/>
      <c r="X39" s="32"/>
      <c r="Y39" s="96"/>
      <c r="Z39" s="96"/>
      <c r="AA39" s="96"/>
      <c r="AB39" s="96"/>
      <c r="AC39" s="96"/>
      <c r="AD39" s="96"/>
      <c r="AH39" s="99">
        <v>20</v>
      </c>
      <c r="AI39" s="113" t="s">
        <v>4059</v>
      </c>
      <c r="AJ39" s="113">
        <v>-15600000</v>
      </c>
      <c r="AK39" s="99">
        <v>3</v>
      </c>
      <c r="AL39" s="99">
        <f t="shared" si="7"/>
        <v>187</v>
      </c>
      <c r="AM39" s="113">
        <f t="shared" si="8"/>
        <v>-2917200000</v>
      </c>
      <c r="AN39" s="99"/>
      <c r="AP39" s="96"/>
      <c r="AQ39" s="183"/>
      <c r="AR39" s="184"/>
      <c r="AS39" s="183"/>
      <c r="AT39" s="183"/>
      <c r="AU39" s="183"/>
      <c r="AV39" s="184"/>
      <c r="AW39" s="96"/>
      <c r="AX39" s="96"/>
      <c r="AY39" s="96"/>
      <c r="AZ39" s="96"/>
      <c r="BA39" s="96"/>
      <c r="BB39" s="96"/>
    </row>
    <row r="40" spans="1:54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56"/>
      <c r="L40" s="117"/>
      <c r="M40" s="169"/>
      <c r="N40" s="113"/>
      <c r="O40" s="99"/>
      <c r="P40" s="99"/>
      <c r="Q40" s="170">
        <v>863944</v>
      </c>
      <c r="R40" s="169" t="s">
        <v>4454</v>
      </c>
      <c r="S40" s="169">
        <f>S39-62</f>
        <v>30</v>
      </c>
      <c r="T40" s="195" t="s">
        <v>4552</v>
      </c>
      <c r="U40" s="169">
        <v>184.6</v>
      </c>
      <c r="V40" s="169">
        <f>U40*(1+$N$81+$Q$15*S40/36500)</f>
        <v>190.91584876712329</v>
      </c>
      <c r="W40" s="32">
        <f>V40*(1+$W$19/100)</f>
        <v>194.73416574246576</v>
      </c>
      <c r="X40" s="32">
        <f>V40*(1+$X$19/100)</f>
        <v>198.55248271780823</v>
      </c>
      <c r="Y40" s="96"/>
      <c r="Z40" s="96" t="s">
        <v>25</v>
      </c>
      <c r="AA40" s="96"/>
      <c r="AB40" s="96"/>
      <c r="AC40" s="96"/>
      <c r="AD40" s="96"/>
      <c r="AH40" s="99">
        <v>21</v>
      </c>
      <c r="AI40" s="113" t="s">
        <v>3788</v>
      </c>
      <c r="AJ40" s="113">
        <v>7500000</v>
      </c>
      <c r="AK40" s="99">
        <v>4</v>
      </c>
      <c r="AL40" s="99">
        <f t="shared" si="7"/>
        <v>184</v>
      </c>
      <c r="AM40" s="113">
        <f t="shared" si="8"/>
        <v>1380000000</v>
      </c>
      <c r="AN40" s="99"/>
      <c r="AP40" s="96"/>
      <c r="AQ40" s="99"/>
      <c r="AR40" s="170"/>
      <c r="AS40" s="99"/>
      <c r="AT40" s="99"/>
      <c r="AU40" s="99"/>
      <c r="AV40" s="170"/>
      <c r="AW40" s="96"/>
      <c r="AX40" s="96"/>
      <c r="AY40" s="96"/>
      <c r="AZ40" s="96"/>
      <c r="BA40" s="96"/>
      <c r="BB40" s="96"/>
    </row>
    <row r="41" spans="1:54" ht="18.75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32" t="s">
        <v>4406</v>
      </c>
      <c r="N41" s="113">
        <f t="shared" ref="N41:N50" si="12">O41*P41</f>
        <v>1849497</v>
      </c>
      <c r="O41" s="99">
        <v>611</v>
      </c>
      <c r="P41" s="99">
        <v>3027</v>
      </c>
      <c r="Q41" s="170">
        <v>25314</v>
      </c>
      <c r="R41" s="169" t="s">
        <v>4549</v>
      </c>
      <c r="S41" s="203">
        <f>S40-18</f>
        <v>12</v>
      </c>
      <c r="T41" s="194" t="s">
        <v>4555</v>
      </c>
      <c r="U41" s="169">
        <v>315</v>
      </c>
      <c r="V41" s="169">
        <f>U41*(1+$N$81+$Q$15*S41/36500)</f>
        <v>321.42772602739728</v>
      </c>
      <c r="W41" s="32">
        <f t="shared" ref="W41:W45" si="13">V41*(1+$W$19/100)</f>
        <v>327.85628054794523</v>
      </c>
      <c r="X41" s="32">
        <f t="shared" ref="X41:X45" si="14">V41*(1+$X$19/100)</f>
        <v>334.28483506849318</v>
      </c>
      <c r="Y41" s="96"/>
      <c r="Z41" s="96"/>
      <c r="AA41" s="96"/>
      <c r="AB41" s="96"/>
      <c r="AC41" s="96"/>
      <c r="AD41" s="96"/>
      <c r="AH41" s="99">
        <v>22</v>
      </c>
      <c r="AI41" s="113" t="s">
        <v>4060</v>
      </c>
      <c r="AJ41" s="113">
        <v>-98000</v>
      </c>
      <c r="AK41" s="99">
        <v>1</v>
      </c>
      <c r="AL41" s="99">
        <f t="shared" si="7"/>
        <v>180</v>
      </c>
      <c r="AM41" s="113">
        <f t="shared" si="8"/>
        <v>-17640000</v>
      </c>
      <c r="AN41" s="99"/>
      <c r="AP41" s="96"/>
      <c r="AQ41" s="99"/>
      <c r="AR41" s="170"/>
      <c r="AS41" s="99"/>
      <c r="AT41" s="180"/>
      <c r="AU41" s="99"/>
      <c r="AV41" s="170"/>
      <c r="AW41" s="96"/>
      <c r="AX41" s="96"/>
      <c r="AY41" s="96"/>
      <c r="AZ41" s="96"/>
      <c r="BA41" s="96"/>
      <c r="BB41" s="96"/>
    </row>
    <row r="42" spans="1:54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169" t="s">
        <v>4182</v>
      </c>
      <c r="N42" s="113">
        <f t="shared" si="12"/>
        <v>196723171.40000001</v>
      </c>
      <c r="O42" s="99">
        <v>1195159</v>
      </c>
      <c r="P42" s="99">
        <v>164.6</v>
      </c>
      <c r="Q42" s="170">
        <v>1692313</v>
      </c>
      <c r="R42" s="169" t="s">
        <v>4559</v>
      </c>
      <c r="S42" s="203">
        <f>S41-3</f>
        <v>9</v>
      </c>
      <c r="T42" s="194" t="s">
        <v>4560</v>
      </c>
      <c r="U42" s="169">
        <v>168.5</v>
      </c>
      <c r="V42" s="169">
        <f>U42*(1+$N$81+$Q$15*S42/36500)</f>
        <v>171.55054246575347</v>
      </c>
      <c r="W42" s="32">
        <f t="shared" si="13"/>
        <v>174.98155331506854</v>
      </c>
      <c r="X42" s="32">
        <f t="shared" si="14"/>
        <v>178.41256416438361</v>
      </c>
      <c r="Y42" s="115" t="s">
        <v>25</v>
      </c>
      <c r="Z42" s="115"/>
      <c r="AA42" s="115"/>
      <c r="AB42" s="115"/>
      <c r="AC42" s="115"/>
      <c r="AD42" s="115"/>
      <c r="AE42" s="115"/>
      <c r="AF42" s="115"/>
      <c r="AH42" s="99">
        <v>23</v>
      </c>
      <c r="AI42" s="113" t="s">
        <v>4054</v>
      </c>
      <c r="AJ42" s="113">
        <v>-26000000</v>
      </c>
      <c r="AK42" s="99">
        <v>0</v>
      </c>
      <c r="AL42" s="99">
        <f t="shared" si="7"/>
        <v>179</v>
      </c>
      <c r="AM42" s="113">
        <f t="shared" si="8"/>
        <v>-4654000000</v>
      </c>
      <c r="AN42" s="99"/>
      <c r="AP42" s="96"/>
      <c r="AQ42" s="99"/>
      <c r="AR42" s="99"/>
      <c r="AS42" s="99"/>
      <c r="AT42" s="99"/>
      <c r="AU42" s="99"/>
      <c r="AV42" s="170"/>
      <c r="AW42" s="96"/>
      <c r="AX42" s="96"/>
      <c r="AY42" s="96"/>
      <c r="AZ42" s="96"/>
      <c r="BA42" s="96"/>
      <c r="BB42" s="96"/>
    </row>
    <row r="43" spans="1:54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 t="s">
        <v>4564</v>
      </c>
      <c r="L43" s="117">
        <v>100000</v>
      </c>
      <c r="M43" s="169" t="s">
        <v>4506</v>
      </c>
      <c r="N43" s="113">
        <v>598155</v>
      </c>
      <c r="O43" s="99"/>
      <c r="P43" s="99"/>
      <c r="Q43" s="170">
        <v>101153</v>
      </c>
      <c r="R43" s="169" t="s">
        <v>4565</v>
      </c>
      <c r="S43" s="203">
        <f>S42-1</f>
        <v>8</v>
      </c>
      <c r="T43" s="194" t="s">
        <v>4567</v>
      </c>
      <c r="U43" s="169">
        <v>166.7</v>
      </c>
      <c r="V43" s="169">
        <f>U43*(1+$N$81+$Q$15*S43/36500)</f>
        <v>169.59007561643836</v>
      </c>
      <c r="W43" s="32">
        <f t="shared" si="13"/>
        <v>172.98187712876714</v>
      </c>
      <c r="X43" s="32">
        <f t="shared" si="14"/>
        <v>176.37367864109589</v>
      </c>
      <c r="Y43" s="115"/>
      <c r="Z43" s="115"/>
      <c r="AA43" s="115" t="s">
        <v>25</v>
      </c>
      <c r="AB43" s="115"/>
      <c r="AC43" s="115"/>
      <c r="AD43" s="115"/>
      <c r="AE43" s="115"/>
      <c r="AF43" s="115"/>
      <c r="AH43" s="99">
        <v>24</v>
      </c>
      <c r="AI43" s="113" t="s">
        <v>4054</v>
      </c>
      <c r="AJ43" s="113">
        <v>25000000</v>
      </c>
      <c r="AK43" s="99">
        <v>1</v>
      </c>
      <c r="AL43" s="99">
        <f t="shared" si="7"/>
        <v>179</v>
      </c>
      <c r="AM43" s="113">
        <f t="shared" si="8"/>
        <v>4475000000</v>
      </c>
      <c r="AN43" s="99"/>
      <c r="AP43" s="96"/>
      <c r="AQ43" s="96"/>
      <c r="AR43" s="96"/>
      <c r="AS43" s="96"/>
      <c r="AV43" s="96"/>
      <c r="AW43" s="96"/>
      <c r="AX43" s="96"/>
      <c r="AY43" s="96"/>
      <c r="AZ43" s="96"/>
      <c r="BA43" s="96"/>
      <c r="BB43" s="96"/>
    </row>
    <row r="44" spans="1:54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99"/>
      <c r="L44" s="117"/>
      <c r="M44" s="169" t="s">
        <v>4306</v>
      </c>
      <c r="N44" s="113">
        <f t="shared" si="12"/>
        <v>0</v>
      </c>
      <c r="O44" s="69">
        <v>0</v>
      </c>
      <c r="P44" s="69">
        <v>284.39999999999998</v>
      </c>
      <c r="Q44" s="170">
        <v>183105</v>
      </c>
      <c r="R44" s="169" t="s">
        <v>4234</v>
      </c>
      <c r="S44" s="203">
        <f>S43-1</f>
        <v>7</v>
      </c>
      <c r="T44" s="194" t="s">
        <v>4573</v>
      </c>
      <c r="U44" s="169">
        <v>166.6</v>
      </c>
      <c r="V44" s="169">
        <f>U44*(1+$N$81+$Q$15*S44/36500)</f>
        <v>169.36053917808221</v>
      </c>
      <c r="W44" s="32">
        <f t="shared" si="13"/>
        <v>172.74774996164385</v>
      </c>
      <c r="X44" s="32">
        <f t="shared" si="14"/>
        <v>176.13496074520549</v>
      </c>
      <c r="Y44" s="115"/>
      <c r="Z44" s="115"/>
      <c r="AA44" s="115"/>
      <c r="AB44" s="115"/>
      <c r="AC44" s="115"/>
      <c r="AD44" s="115" t="s">
        <v>25</v>
      </c>
      <c r="AE44" s="115"/>
      <c r="AF44" s="115"/>
      <c r="AH44" s="99">
        <v>25</v>
      </c>
      <c r="AI44" s="113" t="s">
        <v>4055</v>
      </c>
      <c r="AJ44" s="113">
        <v>110000</v>
      </c>
      <c r="AK44" s="99">
        <v>1</v>
      </c>
      <c r="AL44" s="99">
        <f t="shared" si="7"/>
        <v>178</v>
      </c>
      <c r="AM44" s="113">
        <f t="shared" si="8"/>
        <v>19580000</v>
      </c>
      <c r="AN44" s="99"/>
      <c r="AQ44" s="96"/>
      <c r="AR44" s="96"/>
      <c r="AS44" s="96"/>
      <c r="AV44" s="96"/>
    </row>
    <row r="45" spans="1:54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99"/>
      <c r="L45" s="117"/>
      <c r="M45" s="169" t="s">
        <v>4410</v>
      </c>
      <c r="N45" s="113">
        <f t="shared" si="12"/>
        <v>3286288.2</v>
      </c>
      <c r="O45" s="69">
        <v>767</v>
      </c>
      <c r="P45" s="69">
        <v>4284.6000000000004</v>
      </c>
      <c r="Q45" s="170"/>
      <c r="R45" s="169"/>
      <c r="S45" s="113"/>
      <c r="T45" s="113"/>
      <c r="U45" s="169"/>
      <c r="V45" s="169">
        <f>U45*(1+$N$81+$Q$15*S45/36500)</f>
        <v>0</v>
      </c>
      <c r="W45" s="32">
        <f t="shared" si="13"/>
        <v>0</v>
      </c>
      <c r="X45" s="32">
        <f t="shared" si="14"/>
        <v>0</v>
      </c>
      <c r="Y45" s="115"/>
      <c r="Z45" s="115"/>
      <c r="AA45" s="115"/>
      <c r="AB45" s="115"/>
      <c r="AC45" s="115" t="s">
        <v>25</v>
      </c>
      <c r="AD45" s="115" t="s">
        <v>25</v>
      </c>
      <c r="AE45" s="115"/>
      <c r="AF45" s="115" t="s">
        <v>25</v>
      </c>
      <c r="AH45" s="99">
        <v>26</v>
      </c>
      <c r="AI45" s="113" t="s">
        <v>3803</v>
      </c>
      <c r="AJ45" s="113">
        <v>380000</v>
      </c>
      <c r="AK45" s="99">
        <v>7</v>
      </c>
      <c r="AL45" s="99">
        <f t="shared" si="7"/>
        <v>177</v>
      </c>
      <c r="AM45" s="113">
        <f t="shared" si="8"/>
        <v>67260000</v>
      </c>
      <c r="AN45" s="99"/>
      <c r="AQ45" s="96"/>
      <c r="AR45" s="96"/>
      <c r="AS45" s="96"/>
      <c r="AV45" s="96"/>
    </row>
    <row r="46" spans="1:54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99"/>
      <c r="L46" s="117"/>
      <c r="M46" s="169" t="s">
        <v>4425</v>
      </c>
      <c r="N46" s="117">
        <f t="shared" si="12"/>
        <v>2785266.1</v>
      </c>
      <c r="O46" s="69">
        <v>6431</v>
      </c>
      <c r="P46" s="69">
        <v>433.1</v>
      </c>
      <c r="Q46" s="113">
        <f>SUM(N27:N28)-SUM(Q39:Q45)</f>
        <v>-137713.60000000009</v>
      </c>
      <c r="R46" s="169"/>
      <c r="S46" s="169"/>
      <c r="T46" s="169"/>
      <c r="U46" s="169"/>
      <c r="V46" s="169"/>
      <c r="W46" s="32"/>
      <c r="X46" s="32"/>
      <c r="Y46" s="115"/>
      <c r="Z46" s="115"/>
      <c r="AA46" s="115"/>
      <c r="AB46" s="115"/>
      <c r="AC46" s="115"/>
      <c r="AD46" s="115"/>
      <c r="AE46" s="115"/>
      <c r="AF46" s="115"/>
      <c r="AH46" s="99">
        <v>27</v>
      </c>
      <c r="AI46" s="113" t="s">
        <v>3889</v>
      </c>
      <c r="AJ46" s="113">
        <v>450000</v>
      </c>
      <c r="AK46" s="99">
        <v>6</v>
      </c>
      <c r="AL46" s="99">
        <f t="shared" si="7"/>
        <v>170</v>
      </c>
      <c r="AM46" s="113">
        <f t="shared" si="8"/>
        <v>76500000</v>
      </c>
      <c r="AN46" s="99"/>
      <c r="AQ46" s="96"/>
      <c r="AR46" s="96"/>
      <c r="AS46" s="96"/>
      <c r="AV46" s="96"/>
    </row>
    <row r="47" spans="1:54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117"/>
      <c r="M47" s="73" t="s">
        <v>4554</v>
      </c>
      <c r="N47" s="117">
        <f t="shared" si="12"/>
        <v>34981.200000000004</v>
      </c>
      <c r="O47" s="69">
        <v>79</v>
      </c>
      <c r="P47" s="69">
        <v>442.8</v>
      </c>
      <c r="R47" s="115"/>
      <c r="S47" s="115"/>
      <c r="T47" s="115" t="s">
        <v>25</v>
      </c>
      <c r="U47" s="115"/>
      <c r="V47" s="115"/>
      <c r="W47" s="200"/>
      <c r="X47" s="200"/>
      <c r="Y47" s="115"/>
      <c r="Z47" s="115"/>
      <c r="AA47" s="115"/>
      <c r="AB47" s="115"/>
      <c r="AC47" s="115"/>
      <c r="AD47" s="115" t="s">
        <v>25</v>
      </c>
      <c r="AE47" s="115"/>
      <c r="AF47" s="115"/>
      <c r="AH47" s="99">
        <v>28</v>
      </c>
      <c r="AI47" s="113" t="s">
        <v>3913</v>
      </c>
      <c r="AJ47" s="113">
        <v>2800000</v>
      </c>
      <c r="AK47" s="99">
        <v>1</v>
      </c>
      <c r="AL47" s="99">
        <f t="shared" si="7"/>
        <v>164</v>
      </c>
      <c r="AM47" s="113">
        <f t="shared" si="8"/>
        <v>459200000</v>
      </c>
      <c r="AN47" s="99"/>
      <c r="AQ47" s="96"/>
      <c r="AR47" s="96"/>
      <c r="AS47" s="96"/>
    </row>
    <row r="48" spans="1:54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117"/>
      <c r="M48" s="73" t="s">
        <v>4547</v>
      </c>
      <c r="N48" s="117">
        <f t="shared" si="12"/>
        <v>754735</v>
      </c>
      <c r="O48" s="69">
        <v>271</v>
      </c>
      <c r="P48" s="69">
        <v>2785</v>
      </c>
      <c r="Q48" t="s">
        <v>25</v>
      </c>
      <c r="S48" s="26" t="s">
        <v>25</v>
      </c>
      <c r="T48" t="s">
        <v>25</v>
      </c>
      <c r="U48" s="96" t="s">
        <v>25</v>
      </c>
      <c r="V48" s="115" t="s">
        <v>25</v>
      </c>
      <c r="W48" s="200"/>
      <c r="X48" s="200"/>
      <c r="Y48" s="115"/>
      <c r="Z48" s="115"/>
      <c r="AA48" s="115"/>
      <c r="AB48" s="115" t="s">
        <v>25</v>
      </c>
      <c r="AC48" s="115"/>
      <c r="AD48" s="115"/>
      <c r="AE48" s="115"/>
      <c r="AF48" s="115"/>
      <c r="AH48" s="99">
        <v>29</v>
      </c>
      <c r="AI48" s="113" t="s">
        <v>3914</v>
      </c>
      <c r="AJ48" s="113">
        <v>-1500000</v>
      </c>
      <c r="AK48" s="99">
        <v>0</v>
      </c>
      <c r="AL48" s="99">
        <f t="shared" si="7"/>
        <v>163</v>
      </c>
      <c r="AM48" s="113">
        <f t="shared" si="8"/>
        <v>-244500000</v>
      </c>
      <c r="AN48" s="99"/>
      <c r="AQ48" s="96"/>
      <c r="AR48" s="96"/>
      <c r="AS48" s="96"/>
    </row>
    <row r="49" spans="1:40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 t="s">
        <v>25</v>
      </c>
      <c r="L49" s="117"/>
      <c r="M49" s="73" t="s">
        <v>4602</v>
      </c>
      <c r="N49" s="117">
        <f t="shared" si="12"/>
        <v>102674.5</v>
      </c>
      <c r="O49" s="69">
        <v>29</v>
      </c>
      <c r="P49" s="69">
        <v>3540.5</v>
      </c>
      <c r="T49" t="s">
        <v>25</v>
      </c>
      <c r="W49" s="200"/>
      <c r="X49" s="200"/>
      <c r="AC49" t="s">
        <v>25</v>
      </c>
      <c r="AD49" t="s">
        <v>25</v>
      </c>
      <c r="AF49" s="115"/>
      <c r="AH49" s="99">
        <v>30</v>
      </c>
      <c r="AI49" s="113" t="s">
        <v>3914</v>
      </c>
      <c r="AJ49" s="113">
        <v>3050000</v>
      </c>
      <c r="AK49" s="99">
        <v>3</v>
      </c>
      <c r="AL49" s="99">
        <f>AL50+AK49</f>
        <v>163</v>
      </c>
      <c r="AM49" s="113">
        <f t="shared" si="8"/>
        <v>497150000</v>
      </c>
      <c r="AN49" s="99"/>
    </row>
    <row r="50" spans="1:40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117"/>
      <c r="M50" s="73" t="s">
        <v>1086</v>
      </c>
      <c r="N50" s="117">
        <f t="shared" si="12"/>
        <v>21840000</v>
      </c>
      <c r="O50" s="69">
        <v>60</v>
      </c>
      <c r="P50" s="69">
        <v>364000</v>
      </c>
      <c r="T50" t="s">
        <v>25</v>
      </c>
      <c r="U50" s="96" t="s">
        <v>25</v>
      </c>
      <c r="W50" s="200"/>
      <c r="X50" s="200"/>
      <c r="AA50" s="96"/>
      <c r="AH50" s="99">
        <v>31</v>
      </c>
      <c r="AI50" s="113" t="s">
        <v>3939</v>
      </c>
      <c r="AJ50" s="113">
        <v>-8299612</v>
      </c>
      <c r="AK50" s="99">
        <v>2</v>
      </c>
      <c r="AL50" s="99">
        <f t="shared" si="7"/>
        <v>160</v>
      </c>
      <c r="AM50" s="113">
        <f t="shared" si="8"/>
        <v>-1327937920</v>
      </c>
      <c r="AN50" s="99"/>
    </row>
    <row r="51" spans="1:40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117"/>
      <c r="M51" s="73"/>
      <c r="N51" s="117"/>
      <c r="O51" s="122"/>
      <c r="P51" s="122"/>
      <c r="W51" s="200"/>
      <c r="X51" s="200"/>
      <c r="AA51" s="96"/>
      <c r="AH51" s="99">
        <v>32</v>
      </c>
      <c r="AI51" s="113" t="s">
        <v>3933</v>
      </c>
      <c r="AJ51" s="113">
        <v>5000000</v>
      </c>
      <c r="AK51" s="99">
        <v>14</v>
      </c>
      <c r="AL51" s="99">
        <f t="shared" si="7"/>
        <v>158</v>
      </c>
      <c r="AM51" s="113">
        <f t="shared" si="8"/>
        <v>790000000</v>
      </c>
      <c r="AN51" s="99"/>
    </row>
    <row r="52" spans="1:40" ht="30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117"/>
      <c r="M52" s="169" t="s">
        <v>1154</v>
      </c>
      <c r="N52" s="117">
        <v>14908</v>
      </c>
      <c r="O52" s="96" t="s">
        <v>25</v>
      </c>
      <c r="P52" t="s">
        <v>25</v>
      </c>
      <c r="Q52" s="73" t="s">
        <v>4305</v>
      </c>
      <c r="R52" s="112"/>
      <c r="S52" s="112"/>
      <c r="T52" s="112"/>
      <c r="U52" s="169" t="s">
        <v>4378</v>
      </c>
      <c r="V52" s="36" t="s">
        <v>4380</v>
      </c>
      <c r="W52" s="32"/>
      <c r="X52" s="32"/>
      <c r="AA52" s="96"/>
      <c r="AH52" s="99">
        <v>33</v>
      </c>
      <c r="AI52" s="113" t="s">
        <v>990</v>
      </c>
      <c r="AJ52" s="113">
        <v>-90000</v>
      </c>
      <c r="AK52" s="99">
        <v>1</v>
      </c>
      <c r="AL52" s="99">
        <f t="shared" si="7"/>
        <v>144</v>
      </c>
      <c r="AM52" s="113">
        <f t="shared" si="8"/>
        <v>-12960000</v>
      </c>
      <c r="AN52" s="99"/>
    </row>
    <row r="53" spans="1:40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99"/>
      <c r="M53" s="169" t="s">
        <v>1155</v>
      </c>
      <c r="N53" s="117">
        <v>5282</v>
      </c>
      <c r="O53" s="96"/>
      <c r="Q53" s="112" t="s">
        <v>267</v>
      </c>
      <c r="R53" s="112" t="s">
        <v>180</v>
      </c>
      <c r="S53" s="112" t="s">
        <v>183</v>
      </c>
      <c r="T53" s="112" t="s">
        <v>8</v>
      </c>
      <c r="U53" s="169"/>
      <c r="V53" s="99"/>
      <c r="W53" s="32">
        <v>2</v>
      </c>
      <c r="X53" s="32">
        <v>4</v>
      </c>
      <c r="AH53" s="99">
        <v>34</v>
      </c>
      <c r="AI53" s="113" t="s">
        <v>4056</v>
      </c>
      <c r="AJ53" s="113">
        <v>5600000</v>
      </c>
      <c r="AK53" s="99">
        <v>4</v>
      </c>
      <c r="AL53" s="99">
        <f t="shared" si="7"/>
        <v>143</v>
      </c>
      <c r="AM53" s="113">
        <f t="shared" si="8"/>
        <v>800800000</v>
      </c>
      <c r="AN53" s="99"/>
    </row>
    <row r="54" spans="1:40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169"/>
      <c r="L54" s="117"/>
      <c r="M54" s="169"/>
      <c r="N54" s="113"/>
      <c r="O54" s="115"/>
      <c r="P54" s="115"/>
      <c r="Q54" s="170">
        <v>184971545</v>
      </c>
      <c r="R54" s="169" t="s">
        <v>4175</v>
      </c>
      <c r="S54" s="196">
        <v>92</v>
      </c>
      <c r="T54" s="169" t="s">
        <v>4361</v>
      </c>
      <c r="U54" s="169">
        <v>192</v>
      </c>
      <c r="V54" s="99">
        <f>U54*(1+$N$81+$Q$15*S54/36500)</f>
        <v>207.70086575342467</v>
      </c>
      <c r="W54" s="32">
        <f t="shared" ref="W54:W78" si="15">V54*(1+$W$19/100)</f>
        <v>211.85488306849317</v>
      </c>
      <c r="X54" s="32">
        <f t="shared" ref="X54:X78" si="16">V54*(1+$X$19/100)</f>
        <v>216.00890038356167</v>
      </c>
      <c r="AH54" s="99">
        <v>35</v>
      </c>
      <c r="AI54" s="113" t="s">
        <v>3984</v>
      </c>
      <c r="AJ54" s="113">
        <v>750000</v>
      </c>
      <c r="AK54" s="99">
        <v>2</v>
      </c>
      <c r="AL54" s="99">
        <f t="shared" si="7"/>
        <v>139</v>
      </c>
      <c r="AM54" s="113">
        <f t="shared" si="8"/>
        <v>104250000</v>
      </c>
      <c r="AN54" s="99"/>
    </row>
    <row r="55" spans="1:4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169" t="s">
        <v>25</v>
      </c>
      <c r="L55" s="117"/>
      <c r="M55" s="169" t="s">
        <v>4183</v>
      </c>
      <c r="N55" s="113">
        <f>-O55*P55</f>
        <v>-13624435.799999999</v>
      </c>
      <c r="O55" s="99">
        <v>82773</v>
      </c>
      <c r="P55" s="99">
        <f>P42</f>
        <v>164.6</v>
      </c>
      <c r="Q55" s="170">
        <v>9560464</v>
      </c>
      <c r="R55" s="169" t="s">
        <v>4309</v>
      </c>
      <c r="S55" s="196">
        <f>S54-31</f>
        <v>61</v>
      </c>
      <c r="T55" s="169" t="s">
        <v>4325</v>
      </c>
      <c r="U55" s="169">
        <v>214.57</v>
      </c>
      <c r="V55" s="99">
        <f>U55*(1+$N$81+$Q$15*S55/36500)</f>
        <v>227.01388427397262</v>
      </c>
      <c r="W55" s="32">
        <f t="shared" si="15"/>
        <v>231.55416195945207</v>
      </c>
      <c r="X55" s="32">
        <f t="shared" si="16"/>
        <v>236.09443964493153</v>
      </c>
      <c r="AH55" s="172">
        <v>36</v>
      </c>
      <c r="AI55" s="171" t="s">
        <v>3994</v>
      </c>
      <c r="AJ55" s="171">
        <v>-4242000</v>
      </c>
      <c r="AK55" s="172">
        <v>2</v>
      </c>
      <c r="AL55" s="172">
        <f t="shared" si="7"/>
        <v>137</v>
      </c>
      <c r="AM55" s="171">
        <f t="shared" si="8"/>
        <v>-581154000</v>
      </c>
      <c r="AN55" s="172" t="s">
        <v>4065</v>
      </c>
    </row>
    <row r="56" spans="1:40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169"/>
      <c r="L56" s="117"/>
      <c r="M56" s="169"/>
      <c r="N56" s="113"/>
      <c r="Q56" s="170">
        <v>2000000</v>
      </c>
      <c r="R56" s="169" t="s">
        <v>4356</v>
      </c>
      <c r="S56" s="169">
        <f>S55-11</f>
        <v>50</v>
      </c>
      <c r="T56" s="169" t="s">
        <v>4360</v>
      </c>
      <c r="U56" s="169">
        <v>206.8</v>
      </c>
      <c r="V56" s="99">
        <f>U56*(1+$N$81+$Q$15*S56/36500)</f>
        <v>217.04821479452059</v>
      </c>
      <c r="W56" s="32">
        <f t="shared" si="15"/>
        <v>221.38917909041101</v>
      </c>
      <c r="X56" s="32">
        <f t="shared" si="16"/>
        <v>225.73014338630142</v>
      </c>
      <c r="AH56" s="99">
        <v>37</v>
      </c>
      <c r="AI56" s="113" t="s">
        <v>3994</v>
      </c>
      <c r="AJ56" s="113">
        <v>4100000</v>
      </c>
      <c r="AK56" s="99">
        <v>0</v>
      </c>
      <c r="AL56" s="99">
        <f t="shared" si="7"/>
        <v>135</v>
      </c>
      <c r="AM56" s="113">
        <f t="shared" si="8"/>
        <v>553500000</v>
      </c>
      <c r="AN56" s="99"/>
    </row>
    <row r="57" spans="1:40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/>
      <c r="N57" s="113"/>
      <c r="Q57" s="170">
        <v>1429825</v>
      </c>
      <c r="R57" s="169" t="s">
        <v>4387</v>
      </c>
      <c r="S57" s="169">
        <f>S56-7</f>
        <v>43</v>
      </c>
      <c r="T57" s="169" t="s">
        <v>4396</v>
      </c>
      <c r="U57" s="169">
        <v>203.9</v>
      </c>
      <c r="V57" s="99">
        <f>U57*(1+$N$81+$Q$15*S57/36500)</f>
        <v>212.9095868493151</v>
      </c>
      <c r="W57" s="32">
        <f t="shared" si="15"/>
        <v>217.16777858630141</v>
      </c>
      <c r="X57" s="32">
        <f t="shared" si="16"/>
        <v>221.42597032328771</v>
      </c>
      <c r="AH57" s="99">
        <v>38</v>
      </c>
      <c r="AI57" s="113" t="s">
        <v>4000</v>
      </c>
      <c r="AJ57" s="113">
        <v>4100000</v>
      </c>
      <c r="AK57" s="99">
        <v>1</v>
      </c>
      <c r="AL57" s="99">
        <f t="shared" si="7"/>
        <v>135</v>
      </c>
      <c r="AM57" s="113">
        <f t="shared" si="8"/>
        <v>553500000</v>
      </c>
      <c r="AN57" s="99"/>
    </row>
    <row r="58" spans="1:40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/>
      <c r="L58" s="117"/>
      <c r="M58" s="169" t="s">
        <v>4466</v>
      </c>
      <c r="N58" s="113">
        <f>-S102</f>
        <v>-7654842.4117392721</v>
      </c>
      <c r="Q58" s="170">
        <v>1420747</v>
      </c>
      <c r="R58" s="169" t="s">
        <v>4387</v>
      </c>
      <c r="S58" s="169">
        <f>S57</f>
        <v>43</v>
      </c>
      <c r="T58" s="169" t="s">
        <v>4398</v>
      </c>
      <c r="U58" s="169">
        <v>203.1</v>
      </c>
      <c r="V58" s="99">
        <f>U58*(1+$N$81+$Q$15*S58/36500)</f>
        <v>212.07423780821918</v>
      </c>
      <c r="W58" s="32">
        <f t="shared" si="15"/>
        <v>216.31572256438358</v>
      </c>
      <c r="X58" s="32">
        <f t="shared" si="16"/>
        <v>220.55720732054795</v>
      </c>
      <c r="AH58" s="99">
        <v>39</v>
      </c>
      <c r="AI58" s="113" t="s">
        <v>4009</v>
      </c>
      <c r="AJ58" s="113">
        <v>790000</v>
      </c>
      <c r="AK58" s="99">
        <v>15</v>
      </c>
      <c r="AL58" s="99">
        <f t="shared" si="7"/>
        <v>134</v>
      </c>
      <c r="AM58" s="113">
        <f t="shared" si="8"/>
        <v>105860000</v>
      </c>
      <c r="AN58" s="99"/>
    </row>
    <row r="59" spans="1:40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/>
      <c r="N59" s="113"/>
      <c r="P59" t="s">
        <v>25</v>
      </c>
      <c r="Q59" s="170">
        <v>2412371</v>
      </c>
      <c r="R59" s="169" t="s">
        <v>4389</v>
      </c>
      <c r="S59" s="169">
        <f>S58-1</f>
        <v>42</v>
      </c>
      <c r="T59" s="169" t="s">
        <v>4405</v>
      </c>
      <c r="U59" s="169">
        <v>3930</v>
      </c>
      <c r="V59" s="99">
        <f>U59*(1+$N$81+$Q$15*S59/36500)</f>
        <v>4100.6373698630141</v>
      </c>
      <c r="W59" s="32">
        <f t="shared" si="15"/>
        <v>4182.6501172602748</v>
      </c>
      <c r="X59" s="32">
        <f t="shared" si="16"/>
        <v>4264.6628646575346</v>
      </c>
      <c r="Y59" s="96"/>
      <c r="Z59" s="96"/>
      <c r="AA59" s="96"/>
      <c r="AB59" s="96"/>
      <c r="AC59" s="96"/>
      <c r="AH59" s="172">
        <v>40</v>
      </c>
      <c r="AI59" s="171" t="s">
        <v>4040</v>
      </c>
      <c r="AJ59" s="171">
        <v>-3865000</v>
      </c>
      <c r="AK59" s="172">
        <v>6</v>
      </c>
      <c r="AL59" s="172">
        <f t="shared" si="7"/>
        <v>119</v>
      </c>
      <c r="AM59" s="173">
        <f t="shared" si="8"/>
        <v>-459935000</v>
      </c>
      <c r="AN59" s="172" t="s">
        <v>4066</v>
      </c>
    </row>
    <row r="60" spans="1:40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/>
      <c r="L60" s="117"/>
      <c r="M60" s="169"/>
      <c r="N60" s="113"/>
      <c r="Q60" s="170">
        <v>2010885</v>
      </c>
      <c r="R60" s="169" t="s">
        <v>4408</v>
      </c>
      <c r="S60" s="169">
        <f>S59-2</f>
        <v>40</v>
      </c>
      <c r="T60" s="169" t="s">
        <v>4414</v>
      </c>
      <c r="U60" s="169">
        <v>202.1</v>
      </c>
      <c r="V60" s="99">
        <f>U60*(1+$N$81+$Q$15*S60/36500)</f>
        <v>210.56494465753428</v>
      </c>
      <c r="W60" s="32">
        <f t="shared" si="15"/>
        <v>214.77624355068497</v>
      </c>
      <c r="X60" s="32">
        <f t="shared" si="16"/>
        <v>218.98754244383565</v>
      </c>
      <c r="Y60" s="96"/>
      <c r="Z60" s="96"/>
      <c r="AA60" s="96"/>
      <c r="AB60" s="96"/>
      <c r="AC60" s="96"/>
      <c r="AH60" s="20">
        <v>41</v>
      </c>
      <c r="AI60" s="117" t="s">
        <v>4070</v>
      </c>
      <c r="AJ60" s="117">
        <v>18800000</v>
      </c>
      <c r="AK60" s="20">
        <v>3</v>
      </c>
      <c r="AL60" s="99">
        <f t="shared" si="7"/>
        <v>113</v>
      </c>
      <c r="AM60" s="113">
        <f t="shared" si="8"/>
        <v>2124400000</v>
      </c>
      <c r="AN60" s="20"/>
    </row>
    <row r="61" spans="1:40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 t="s">
        <v>598</v>
      </c>
      <c r="L61" s="113">
        <f>SUM(L16:L45)</f>
        <v>232037802.87419295</v>
      </c>
      <c r="M61" s="169"/>
      <c r="N61" s="113">
        <f>SUM(N16:N57)</f>
        <v>304366667.12580711</v>
      </c>
      <c r="Q61" s="170">
        <v>1994038</v>
      </c>
      <c r="R61" s="169" t="s">
        <v>4419</v>
      </c>
      <c r="S61" s="169">
        <f>S60-3</f>
        <v>37</v>
      </c>
      <c r="T61" s="169" t="s">
        <v>4436</v>
      </c>
      <c r="U61" s="169">
        <v>5560.3</v>
      </c>
      <c r="V61" s="99">
        <f>U61*(1+$N$81+$Q$15*S61/36500)</f>
        <v>5780.3964778082209</v>
      </c>
      <c r="W61" s="32">
        <f t="shared" si="15"/>
        <v>5896.0044073643858</v>
      </c>
      <c r="X61" s="32">
        <f t="shared" si="16"/>
        <v>6011.6123369205498</v>
      </c>
      <c r="Y61" s="96"/>
      <c r="Z61" s="96"/>
      <c r="AA61" s="96"/>
      <c r="AB61" s="96"/>
      <c r="AC61" s="96"/>
      <c r="AH61" s="20">
        <v>42</v>
      </c>
      <c r="AI61" s="117" t="s">
        <v>4087</v>
      </c>
      <c r="AJ61" s="117">
        <v>500000</v>
      </c>
      <c r="AK61" s="20">
        <v>1</v>
      </c>
      <c r="AL61" s="99">
        <f t="shared" si="7"/>
        <v>110</v>
      </c>
      <c r="AM61" s="113">
        <f t="shared" si="8"/>
        <v>55000000</v>
      </c>
      <c r="AN61" s="20"/>
    </row>
    <row r="62" spans="1:40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169" t="s">
        <v>599</v>
      </c>
      <c r="L62" s="113">
        <f>L16+L17+L23</f>
        <v>24202</v>
      </c>
      <c r="M62" s="169"/>
      <c r="N62" s="113">
        <f>N16+N17+N32</f>
        <v>631346</v>
      </c>
      <c r="Q62" s="170">
        <v>2854085</v>
      </c>
      <c r="R62" s="169" t="s">
        <v>4419</v>
      </c>
      <c r="S62" s="198">
        <f>S61</f>
        <v>37</v>
      </c>
      <c r="T62" s="169" t="s">
        <v>4595</v>
      </c>
      <c r="U62" s="169">
        <v>441.8</v>
      </c>
      <c r="V62" s="99">
        <f>U62*(1+$N$81+$Q$15*S62/36500)</f>
        <v>459.28801753424665</v>
      </c>
      <c r="W62" s="32">
        <f t="shared" si="15"/>
        <v>468.47377788493156</v>
      </c>
      <c r="X62" s="32">
        <f t="shared" si="16"/>
        <v>477.65953823561654</v>
      </c>
      <c r="Y62" s="96" t="s">
        <v>25</v>
      </c>
      <c r="Z62" s="96"/>
      <c r="AA62" s="96"/>
      <c r="AB62" s="96"/>
      <c r="AC62" s="96"/>
      <c r="AH62" s="20">
        <v>43</v>
      </c>
      <c r="AI62" s="117" t="s">
        <v>4091</v>
      </c>
      <c r="AJ62" s="117">
        <v>200000</v>
      </c>
      <c r="AK62" s="20">
        <v>3</v>
      </c>
      <c r="AL62" s="99">
        <f>AL63+AK62</f>
        <v>109</v>
      </c>
      <c r="AM62" s="113">
        <f t="shared" si="8"/>
        <v>21800000</v>
      </c>
      <c r="AN62" s="20"/>
    </row>
    <row r="63" spans="1:40">
      <c r="E63" s="26"/>
      <c r="K63" s="56" t="s">
        <v>716</v>
      </c>
      <c r="L63" s="1">
        <f>L61+N7</f>
        <v>302037802.87419295</v>
      </c>
      <c r="M63" s="113"/>
      <c r="N63" s="169"/>
      <c r="O63" s="115"/>
      <c r="P63" s="115"/>
      <c r="Q63" s="170">
        <v>1971103</v>
      </c>
      <c r="R63" s="169" t="s">
        <v>4431</v>
      </c>
      <c r="S63" s="169">
        <f>S62-1</f>
        <v>36</v>
      </c>
      <c r="T63" s="169" t="s">
        <v>4432</v>
      </c>
      <c r="U63" s="169">
        <v>196.2</v>
      </c>
      <c r="V63" s="99">
        <f>U63*(1+$N$81+$Q$15*S63/36500)</f>
        <v>203.81578520547944</v>
      </c>
      <c r="W63" s="32">
        <f t="shared" si="15"/>
        <v>207.89210090958903</v>
      </c>
      <c r="X63" s="32">
        <f t="shared" si="16"/>
        <v>211.96841661369862</v>
      </c>
      <c r="Y63" s="96"/>
      <c r="Z63" s="96"/>
      <c r="AA63" s="96"/>
      <c r="AB63" s="96"/>
      <c r="AC63" s="96"/>
      <c r="AH63" s="20">
        <v>44</v>
      </c>
      <c r="AI63" s="117" t="s">
        <v>4098</v>
      </c>
      <c r="AJ63" s="117">
        <v>1000000</v>
      </c>
      <c r="AK63" s="20">
        <v>3</v>
      </c>
      <c r="AL63" s="99">
        <f t="shared" si="7"/>
        <v>106</v>
      </c>
      <c r="AM63" s="113">
        <f t="shared" si="8"/>
        <v>106000000</v>
      </c>
      <c r="AN63" s="20"/>
    </row>
    <row r="64" spans="1:40">
      <c r="E64" s="26"/>
      <c r="O64" s="96"/>
      <c r="P64" s="96"/>
      <c r="Q64" s="170">
        <v>1049856</v>
      </c>
      <c r="R64" s="169" t="s">
        <v>4454</v>
      </c>
      <c r="S64" s="204">
        <f>S63-6</f>
        <v>30</v>
      </c>
      <c r="T64" s="169" t="s">
        <v>4498</v>
      </c>
      <c r="U64" s="169">
        <v>184.5</v>
      </c>
      <c r="V64" s="99">
        <f>U64*(1+$N$81+$Q$15*S64/36500)</f>
        <v>190.81242739726031</v>
      </c>
      <c r="W64" s="32">
        <f t="shared" si="15"/>
        <v>194.62867594520552</v>
      </c>
      <c r="X64" s="32">
        <f t="shared" si="16"/>
        <v>198.44492449315072</v>
      </c>
      <c r="Y64" s="96"/>
      <c r="Z64" s="96"/>
      <c r="AA64" s="96"/>
      <c r="AB64" s="96"/>
      <c r="AC64" s="96"/>
      <c r="AH64" s="20">
        <v>45</v>
      </c>
      <c r="AI64" s="117" t="s">
        <v>4110</v>
      </c>
      <c r="AJ64" s="117">
        <v>1300000</v>
      </c>
      <c r="AK64" s="20">
        <v>0</v>
      </c>
      <c r="AL64" s="99">
        <f>AL65+AK64</f>
        <v>103</v>
      </c>
      <c r="AM64" s="113">
        <f t="shared" si="8"/>
        <v>133900000</v>
      </c>
      <c r="AN64" s="20"/>
    </row>
    <row r="65" spans="1:40">
      <c r="M65" s="25"/>
      <c r="O65" t="s">
        <v>25</v>
      </c>
      <c r="Q65" s="170">
        <v>1783234</v>
      </c>
      <c r="R65" s="169" t="s">
        <v>4456</v>
      </c>
      <c r="S65" s="169">
        <f>S64-2</f>
        <v>28</v>
      </c>
      <c r="T65" s="169" t="s">
        <v>4457</v>
      </c>
      <c r="U65" s="169">
        <v>177.5</v>
      </c>
      <c r="V65" s="99">
        <f>U65*(1+$N$81+$Q$15*S65/36500)</f>
        <v>183.30060273972603</v>
      </c>
      <c r="W65" s="32">
        <f t="shared" si="15"/>
        <v>186.96661479452055</v>
      </c>
      <c r="X65" s="32">
        <f t="shared" si="16"/>
        <v>190.63262684931507</v>
      </c>
      <c r="Y65" s="96"/>
      <c r="Z65" s="96"/>
      <c r="AA65" s="96"/>
      <c r="AB65" s="96"/>
      <c r="AC65" s="96"/>
      <c r="AH65" s="20">
        <v>45</v>
      </c>
      <c r="AI65" s="117" t="s">
        <v>4110</v>
      </c>
      <c r="AJ65" s="117">
        <v>995000</v>
      </c>
      <c r="AK65" s="20">
        <v>2</v>
      </c>
      <c r="AL65" s="99">
        <f t="shared" ref="AL65:AL101" si="17">AL66+AK65</f>
        <v>103</v>
      </c>
      <c r="AM65" s="113">
        <f t="shared" si="8"/>
        <v>102485000</v>
      </c>
      <c r="AN65" s="20"/>
    </row>
    <row r="66" spans="1:40">
      <c r="M66" s="25" t="s">
        <v>4083</v>
      </c>
      <c r="P66" t="s">
        <v>25</v>
      </c>
      <c r="Q66" s="170">
        <v>1904396</v>
      </c>
      <c r="R66" s="169" t="s">
        <v>4456</v>
      </c>
      <c r="S66" s="203">
        <f>S65</f>
        <v>28</v>
      </c>
      <c r="T66" s="169" t="s">
        <v>4462</v>
      </c>
      <c r="U66" s="169">
        <v>4861</v>
      </c>
      <c r="V66" s="99">
        <f>U66*(1+$N$81+$Q$15*S66/36500)</f>
        <v>5019.8548164383565</v>
      </c>
      <c r="W66" s="32">
        <f t="shared" si="15"/>
        <v>5120.2519127671239</v>
      </c>
      <c r="X66" s="32">
        <f t="shared" si="16"/>
        <v>5220.6490090958905</v>
      </c>
      <c r="Y66" s="96"/>
      <c r="Z66" s="96"/>
      <c r="AA66" s="96"/>
      <c r="AB66" s="96"/>
      <c r="AC66" s="96"/>
      <c r="AH66" s="20">
        <v>46</v>
      </c>
      <c r="AI66" s="117" t="s">
        <v>4120</v>
      </c>
      <c r="AJ66" s="117">
        <v>13000000</v>
      </c>
      <c r="AK66" s="20">
        <v>2</v>
      </c>
      <c r="AL66" s="99">
        <f t="shared" si="17"/>
        <v>101</v>
      </c>
      <c r="AM66" s="113">
        <f t="shared" si="8"/>
        <v>1313000000</v>
      </c>
      <c r="AN66" s="20"/>
    </row>
    <row r="67" spans="1:40">
      <c r="A67" t="s">
        <v>25</v>
      </c>
      <c r="F67" t="s">
        <v>310</v>
      </c>
      <c r="G67" t="s">
        <v>4102</v>
      </c>
      <c r="M67" s="178"/>
      <c r="O67" s="22"/>
      <c r="Q67" s="170">
        <v>1826179</v>
      </c>
      <c r="R67" s="169" t="s">
        <v>4460</v>
      </c>
      <c r="S67" s="203">
        <f>S66-5</f>
        <v>23</v>
      </c>
      <c r="T67" s="73" t="s">
        <v>4507</v>
      </c>
      <c r="U67" s="169">
        <v>190.3</v>
      </c>
      <c r="V67" s="99">
        <f>U67*(1+$N$81+$Q$15*S67/36500)</f>
        <v>195.78898191780826</v>
      </c>
      <c r="W67" s="32">
        <f t="shared" si="15"/>
        <v>199.70476155616441</v>
      </c>
      <c r="X67" s="32">
        <f t="shared" si="16"/>
        <v>203.6205411945206</v>
      </c>
      <c r="Y67" s="96"/>
      <c r="Z67" s="96"/>
      <c r="AA67" s="96"/>
      <c r="AB67" s="96"/>
      <c r="AC67" s="96"/>
      <c r="AH67" s="20">
        <v>47</v>
      </c>
      <c r="AI67" s="117" t="s">
        <v>4133</v>
      </c>
      <c r="AJ67" s="117">
        <v>-3100000</v>
      </c>
      <c r="AK67" s="20">
        <v>3</v>
      </c>
      <c r="AL67" s="99">
        <f t="shared" si="17"/>
        <v>99</v>
      </c>
      <c r="AM67" s="113">
        <f t="shared" si="8"/>
        <v>-306900000</v>
      </c>
      <c r="AN67" s="20"/>
    </row>
    <row r="68" spans="1:40">
      <c r="F68" t="s">
        <v>4106</v>
      </c>
      <c r="G68" t="s">
        <v>4101</v>
      </c>
      <c r="M68" s="122"/>
      <c r="O68" t="s">
        <v>25</v>
      </c>
      <c r="P68" t="s">
        <v>25</v>
      </c>
      <c r="Q68" s="170">
        <v>1049976</v>
      </c>
      <c r="R68" s="169" t="s">
        <v>4460</v>
      </c>
      <c r="S68" s="203">
        <f>S67</f>
        <v>23</v>
      </c>
      <c r="T68" s="73" t="s">
        <v>4516</v>
      </c>
      <c r="U68" s="169">
        <v>190.3</v>
      </c>
      <c r="V68" s="99">
        <f>U68*(1+$N$81+$Q$15*S68/36500)</f>
        <v>195.78898191780826</v>
      </c>
      <c r="W68" s="32">
        <f t="shared" si="15"/>
        <v>199.70476155616441</v>
      </c>
      <c r="X68" s="32">
        <f t="shared" si="16"/>
        <v>203.6205411945206</v>
      </c>
      <c r="Y68" s="96"/>
      <c r="Z68" s="96"/>
      <c r="AA68" s="96"/>
      <c r="AB68" s="96"/>
      <c r="AC68" s="96"/>
      <c r="AH68" s="20">
        <v>48</v>
      </c>
      <c r="AI68" s="117" t="s">
        <v>4148</v>
      </c>
      <c r="AJ68" s="117">
        <v>45640000</v>
      </c>
      <c r="AK68" s="20">
        <v>1</v>
      </c>
      <c r="AL68" s="99">
        <f t="shared" si="17"/>
        <v>96</v>
      </c>
      <c r="AM68" s="113">
        <f t="shared" si="8"/>
        <v>4381440000</v>
      </c>
      <c r="AN68" s="20"/>
    </row>
    <row r="69" spans="1:40">
      <c r="F69" t="s">
        <v>4107</v>
      </c>
      <c r="G69" t="s">
        <v>4103</v>
      </c>
      <c r="M69" s="122" t="s">
        <v>4426</v>
      </c>
      <c r="O69" s="114"/>
      <c r="Q69" s="170">
        <v>3969956</v>
      </c>
      <c r="R69" s="169" t="s">
        <v>4517</v>
      </c>
      <c r="S69" s="169">
        <f>S68-2</f>
        <v>21</v>
      </c>
      <c r="T69" s="73" t="s">
        <v>4518</v>
      </c>
      <c r="U69" s="169">
        <v>396500</v>
      </c>
      <c r="V69" s="99">
        <f>U69*(1+$N$81+$Q$15*S69/36500)</f>
        <v>407328.25205479452</v>
      </c>
      <c r="W69" s="32">
        <f t="shared" si="15"/>
        <v>415474.81709589041</v>
      </c>
      <c r="X69" s="32">
        <f t="shared" si="16"/>
        <v>423621.3821369863</v>
      </c>
      <c r="Y69" s="96"/>
      <c r="Z69" s="96"/>
      <c r="AA69" s="96"/>
      <c r="AB69" s="96"/>
      <c r="AC69" s="96"/>
      <c r="AH69" s="20">
        <v>49</v>
      </c>
      <c r="AI69" s="117" t="s">
        <v>4154</v>
      </c>
      <c r="AJ69" s="117">
        <v>33500000</v>
      </c>
      <c r="AK69" s="20">
        <v>1</v>
      </c>
      <c r="AL69" s="99">
        <f t="shared" si="17"/>
        <v>95</v>
      </c>
      <c r="AM69" s="113">
        <f t="shared" si="8"/>
        <v>3182500000</v>
      </c>
      <c r="AN69" s="20"/>
    </row>
    <row r="70" spans="1:40">
      <c r="G70" t="s">
        <v>4104</v>
      </c>
      <c r="M70" s="122" t="s">
        <v>4544</v>
      </c>
      <c r="N70" s="96"/>
      <c r="Q70" s="170">
        <v>3894862</v>
      </c>
      <c r="R70" s="169" t="s">
        <v>4526</v>
      </c>
      <c r="S70" s="169">
        <f>S69-2</f>
        <v>19</v>
      </c>
      <c r="T70" s="73" t="s">
        <v>4587</v>
      </c>
      <c r="U70" s="169">
        <v>389000</v>
      </c>
      <c r="V70" s="99">
        <f>U70*(1+$N$81+$Q$15*S70/36500)</f>
        <v>399026.6082191781</v>
      </c>
      <c r="W70" s="32">
        <f t="shared" si="15"/>
        <v>407007.14038356167</v>
      </c>
      <c r="X70" s="32">
        <f t="shared" si="16"/>
        <v>414987.67254794523</v>
      </c>
      <c r="AH70" s="20">
        <v>50</v>
      </c>
      <c r="AI70" s="117" t="s">
        <v>4159</v>
      </c>
      <c r="AJ70" s="117">
        <v>12000000</v>
      </c>
      <c r="AK70" s="20">
        <v>1</v>
      </c>
      <c r="AL70" s="99">
        <f t="shared" si="17"/>
        <v>94</v>
      </c>
      <c r="AM70" s="117">
        <f t="shared" si="8"/>
        <v>1128000000</v>
      </c>
      <c r="AN70" s="20"/>
    </row>
    <row r="71" spans="1:40" ht="30">
      <c r="G71" t="s">
        <v>4105</v>
      </c>
      <c r="M71" s="122" t="s">
        <v>4525</v>
      </c>
      <c r="N71" s="96"/>
      <c r="P71" t="s">
        <v>25</v>
      </c>
      <c r="Q71" s="170">
        <v>5881743</v>
      </c>
      <c r="R71" s="169" t="s">
        <v>4532</v>
      </c>
      <c r="S71" s="169">
        <f>S70-3</f>
        <v>16</v>
      </c>
      <c r="T71" s="73" t="s">
        <v>4557</v>
      </c>
      <c r="U71" s="169">
        <v>172.2</v>
      </c>
      <c r="V71" s="99">
        <f>U71*(1+$N$81+$Q$15*S71/36500)</f>
        <v>176.24221808219178</v>
      </c>
      <c r="W71" s="32">
        <f t="shared" si="15"/>
        <v>179.76706244383561</v>
      </c>
      <c r="X71" s="32">
        <f t="shared" si="16"/>
        <v>183.29190680547947</v>
      </c>
      <c r="AH71" s="20">
        <v>51</v>
      </c>
      <c r="AI71" s="117" t="s">
        <v>4165</v>
      </c>
      <c r="AJ71" s="117">
        <v>15500000</v>
      </c>
      <c r="AK71" s="20">
        <v>4</v>
      </c>
      <c r="AL71" s="99">
        <f t="shared" si="17"/>
        <v>93</v>
      </c>
      <c r="AM71" s="117">
        <f t="shared" si="8"/>
        <v>1441500000</v>
      </c>
      <c r="AN71" s="20"/>
    </row>
    <row r="72" spans="1:40">
      <c r="G72" t="s">
        <v>4109</v>
      </c>
      <c r="M72" s="122" t="s">
        <v>4527</v>
      </c>
      <c r="N72" s="96"/>
      <c r="P72" s="115"/>
      <c r="Q72" s="170">
        <v>4025024</v>
      </c>
      <c r="R72" s="169" t="s">
        <v>4532</v>
      </c>
      <c r="S72" s="169">
        <f>S71</f>
        <v>16</v>
      </c>
      <c r="T72" s="73" t="s">
        <v>4536</v>
      </c>
      <c r="U72" s="169">
        <v>402000</v>
      </c>
      <c r="V72" s="99">
        <f>U72*(1+$N$81+$Q$15*S72/36500)</f>
        <v>411436.53698630136</v>
      </c>
      <c r="W72" s="32">
        <f t="shared" si="15"/>
        <v>419665.26772602741</v>
      </c>
      <c r="X72" s="32">
        <f t="shared" si="16"/>
        <v>427893.99846575345</v>
      </c>
      <c r="AH72" s="20">
        <v>52</v>
      </c>
      <c r="AI72" s="117" t="s">
        <v>4169</v>
      </c>
      <c r="AJ72" s="117">
        <v>150000</v>
      </c>
      <c r="AK72" s="20">
        <v>1</v>
      </c>
      <c r="AL72" s="99">
        <f t="shared" si="17"/>
        <v>89</v>
      </c>
      <c r="AM72" s="117">
        <f t="shared" si="8"/>
        <v>13350000</v>
      </c>
      <c r="AN72" s="20"/>
    </row>
    <row r="73" spans="1:40">
      <c r="G73" t="s">
        <v>4108</v>
      </c>
      <c r="M73" s="122" t="s">
        <v>4543</v>
      </c>
      <c r="N73" s="96"/>
      <c r="P73" s="115" t="s">
        <v>25</v>
      </c>
      <c r="Q73" s="170">
        <v>3919893</v>
      </c>
      <c r="R73" s="169" t="s">
        <v>4534</v>
      </c>
      <c r="S73" s="169">
        <f>S72-1</f>
        <v>15</v>
      </c>
      <c r="T73" s="73" t="s">
        <v>4535</v>
      </c>
      <c r="U73" s="169">
        <v>391500</v>
      </c>
      <c r="V73" s="99">
        <f>U73*(1+$N$81+$Q$15*S73/36500)</f>
        <v>400389.73150684935</v>
      </c>
      <c r="W73" s="32">
        <f t="shared" si="15"/>
        <v>408397.52613698633</v>
      </c>
      <c r="X73" s="32">
        <f t="shared" si="16"/>
        <v>416405.32076712331</v>
      </c>
      <c r="AH73" s="181">
        <v>53</v>
      </c>
      <c r="AI73" s="182" t="s">
        <v>4175</v>
      </c>
      <c r="AJ73" s="182">
        <v>29000000</v>
      </c>
      <c r="AK73" s="181">
        <v>15</v>
      </c>
      <c r="AL73" s="181">
        <f t="shared" si="17"/>
        <v>88</v>
      </c>
      <c r="AM73" s="182">
        <f t="shared" si="8"/>
        <v>2552000000</v>
      </c>
      <c r="AN73" s="181" t="s">
        <v>4189</v>
      </c>
    </row>
    <row r="74" spans="1:40">
      <c r="M74" s="122"/>
      <c r="O74" t="s">
        <v>25</v>
      </c>
      <c r="P74" s="115"/>
      <c r="Q74" s="170">
        <v>3825777</v>
      </c>
      <c r="R74" s="169" t="s">
        <v>4540</v>
      </c>
      <c r="S74" s="169">
        <f>S73-1</f>
        <v>14</v>
      </c>
      <c r="T74" s="73" t="s">
        <v>4542</v>
      </c>
      <c r="U74" s="169">
        <v>382100</v>
      </c>
      <c r="V74" s="99">
        <f>U74*(1+$N$81+$Q$15*S74/36500)</f>
        <v>390483.16931506858</v>
      </c>
      <c r="W74" s="32">
        <f t="shared" si="15"/>
        <v>398292.83270136995</v>
      </c>
      <c r="X74" s="32">
        <f t="shared" si="16"/>
        <v>406102.49608767132</v>
      </c>
      <c r="Y74" t="s">
        <v>25</v>
      </c>
      <c r="AH74" s="20">
        <v>54</v>
      </c>
      <c r="AI74" s="117" t="s">
        <v>4213</v>
      </c>
      <c r="AJ74" s="117">
        <v>-130000</v>
      </c>
      <c r="AK74" s="20">
        <v>7</v>
      </c>
      <c r="AL74" s="99">
        <f t="shared" si="17"/>
        <v>73</v>
      </c>
      <c r="AM74" s="117">
        <f t="shared" si="8"/>
        <v>-9490000</v>
      </c>
      <c r="AN74" s="20" t="s">
        <v>4215</v>
      </c>
    </row>
    <row r="75" spans="1:40">
      <c r="M75" s="96">
        <f>O42+O43+O21+O27-O55</f>
        <v>1200976</v>
      </c>
      <c r="N75" s="113">
        <f>M75*P42</f>
        <v>197680649.59999999</v>
      </c>
      <c r="P75" s="115"/>
      <c r="Q75" s="170">
        <v>773238</v>
      </c>
      <c r="R75" s="169" t="s">
        <v>4236</v>
      </c>
      <c r="S75" s="169">
        <f>S74-1</f>
        <v>13</v>
      </c>
      <c r="T75" s="73" t="s">
        <v>4548</v>
      </c>
      <c r="U75" s="169">
        <v>2850</v>
      </c>
      <c r="V75" s="99">
        <f>U75*(1+$N$81+$Q$15*S75/36500)</f>
        <v>2910.3419178082195</v>
      </c>
      <c r="W75" s="32">
        <f t="shared" si="15"/>
        <v>2968.548756164384</v>
      </c>
      <c r="X75" s="32">
        <f t="shared" si="16"/>
        <v>3026.7555945205486</v>
      </c>
      <c r="AH75" s="20">
        <v>55</v>
      </c>
      <c r="AI75" s="117" t="s">
        <v>4268</v>
      </c>
      <c r="AJ75" s="117">
        <v>232000</v>
      </c>
      <c r="AK75" s="20">
        <v>2</v>
      </c>
      <c r="AL75" s="99">
        <f t="shared" si="17"/>
        <v>66</v>
      </c>
      <c r="AM75" s="117">
        <f>AJ75*AL75</f>
        <v>15312000</v>
      </c>
      <c r="AN75" s="20" t="s">
        <v>4270</v>
      </c>
    </row>
    <row r="76" spans="1:40">
      <c r="D76" s="3"/>
      <c r="E76" s="11" t="s">
        <v>304</v>
      </c>
      <c r="M76" t="s">
        <v>4277</v>
      </c>
      <c r="P76" s="115"/>
      <c r="Q76" s="170">
        <v>24997</v>
      </c>
      <c r="R76" s="169" t="s">
        <v>4549</v>
      </c>
      <c r="S76" s="169">
        <f>S75-1</f>
        <v>12</v>
      </c>
      <c r="T76" s="73" t="s">
        <v>4556</v>
      </c>
      <c r="U76" s="169">
        <v>315</v>
      </c>
      <c r="V76" s="99">
        <f>U76*(1+$N$81+$Q$15*S76/36500)</f>
        <v>321.42772602739728</v>
      </c>
      <c r="W76" s="32">
        <f t="shared" si="15"/>
        <v>327.85628054794523</v>
      </c>
      <c r="X76" s="32">
        <f t="shared" si="16"/>
        <v>334.28483506849318</v>
      </c>
      <c r="AH76" s="20">
        <v>56</v>
      </c>
      <c r="AI76" s="117" t="s">
        <v>4279</v>
      </c>
      <c r="AJ76" s="117">
        <v>-170000</v>
      </c>
      <c r="AK76" s="20">
        <v>3</v>
      </c>
      <c r="AL76" s="99">
        <f t="shared" si="17"/>
        <v>64</v>
      </c>
      <c r="AM76" s="117">
        <f t="shared" si="8"/>
        <v>-10880000</v>
      </c>
      <c r="AN76" s="20"/>
    </row>
    <row r="77" spans="1:40">
      <c r="D77" s="1" t="s">
        <v>305</v>
      </c>
      <c r="E77" s="1">
        <v>70000</v>
      </c>
      <c r="N77" t="s">
        <v>25</v>
      </c>
      <c r="P77" s="115"/>
      <c r="Q77" s="170">
        <v>674112</v>
      </c>
      <c r="R77" s="169" t="s">
        <v>4559</v>
      </c>
      <c r="S77" s="169">
        <f>S76-3</f>
        <v>9</v>
      </c>
      <c r="T77" s="73" t="s">
        <v>4561</v>
      </c>
      <c r="U77" s="169">
        <v>167.8</v>
      </c>
      <c r="V77" s="99">
        <f>U77*(1+$N$81+$Q$15*S77/36500)</f>
        <v>170.83786958904113</v>
      </c>
      <c r="W77" s="32">
        <f t="shared" si="15"/>
        <v>174.25462698082197</v>
      </c>
      <c r="X77" s="32">
        <f t="shared" si="16"/>
        <v>177.67138437260277</v>
      </c>
      <c r="AH77" s="20">
        <v>57</v>
      </c>
      <c r="AI77" s="117" t="s">
        <v>4293</v>
      </c>
      <c r="AJ77" s="117">
        <v>-300000</v>
      </c>
      <c r="AK77" s="20">
        <v>3</v>
      </c>
      <c r="AL77" s="99">
        <f t="shared" si="17"/>
        <v>61</v>
      </c>
      <c r="AM77" s="117">
        <f t="shared" si="8"/>
        <v>-18300000</v>
      </c>
      <c r="AN77" s="20"/>
    </row>
    <row r="78" spans="1:40">
      <c r="D78" s="1" t="s">
        <v>321</v>
      </c>
      <c r="E78" s="1">
        <v>100000</v>
      </c>
      <c r="P78" s="115"/>
      <c r="Q78" s="170">
        <v>3614512</v>
      </c>
      <c r="R78" s="169" t="s">
        <v>4559</v>
      </c>
      <c r="S78" s="169">
        <f>S77</f>
        <v>9</v>
      </c>
      <c r="T78" s="73" t="s">
        <v>4562</v>
      </c>
      <c r="U78" s="169">
        <v>361000</v>
      </c>
      <c r="V78" s="99">
        <f>U78*(1+$N$81+$Q$15*S78/36500)</f>
        <v>367535.5835616439</v>
      </c>
      <c r="W78" s="32">
        <f t="shared" si="15"/>
        <v>374886.29523287679</v>
      </c>
      <c r="X78" s="32">
        <f t="shared" si="16"/>
        <v>382237.00690410967</v>
      </c>
      <c r="AD78" s="115"/>
      <c r="AE78" s="115"/>
      <c r="AH78" s="20">
        <v>58</v>
      </c>
      <c r="AI78" s="117" t="s">
        <v>4302</v>
      </c>
      <c r="AJ78" s="117">
        <v>-11400000</v>
      </c>
      <c r="AK78" s="20">
        <v>13</v>
      </c>
      <c r="AL78" s="99">
        <f>AL79+AK78</f>
        <v>58</v>
      </c>
      <c r="AM78" s="117">
        <f t="shared" si="8"/>
        <v>-661200000</v>
      </c>
      <c r="AN78" s="20"/>
    </row>
    <row r="79" spans="1:40">
      <c r="D79" s="1" t="s">
        <v>306</v>
      </c>
      <c r="E79" s="1">
        <v>80000</v>
      </c>
      <c r="M79" t="s">
        <v>949</v>
      </c>
      <c r="N79">
        <v>6.3E-3</v>
      </c>
      <c r="P79" s="115"/>
      <c r="Q79" s="170">
        <v>105046</v>
      </c>
      <c r="R79" s="169" t="s">
        <v>4565</v>
      </c>
      <c r="S79" s="169">
        <f>S78-1</f>
        <v>8</v>
      </c>
      <c r="T79" s="73" t="s">
        <v>4568</v>
      </c>
      <c r="U79" s="169">
        <v>167</v>
      </c>
      <c r="V79" s="99">
        <f>U79*(1+$N$81+$Q$15*S79/36500)</f>
        <v>169.89527671232878</v>
      </c>
      <c r="W79" s="32">
        <f t="shared" ref="W79:W88" si="18">V79*(1+$W$19/100)</f>
        <v>173.29318224657536</v>
      </c>
      <c r="X79" s="32">
        <f t="shared" ref="X79:X88" si="19">V79*(1+$X$19/100)</f>
        <v>176.69108778082193</v>
      </c>
      <c r="AC79" s="115"/>
      <c r="AD79" s="115"/>
      <c r="AE79" s="115"/>
      <c r="AF79"/>
      <c r="AH79" s="20">
        <v>59</v>
      </c>
      <c r="AI79" s="117" t="s">
        <v>4362</v>
      </c>
      <c r="AJ79" s="117">
        <v>-10000000</v>
      </c>
      <c r="AK79" s="20">
        <v>1</v>
      </c>
      <c r="AL79" s="99">
        <f>AL80+AK79</f>
        <v>45</v>
      </c>
      <c r="AM79" s="117">
        <f>AJ79*AL79</f>
        <v>-450000000</v>
      </c>
      <c r="AN79" s="20"/>
    </row>
    <row r="80" spans="1:40">
      <c r="D80" s="31" t="s">
        <v>307</v>
      </c>
      <c r="E80" s="1">
        <v>150000</v>
      </c>
      <c r="J80" t="s">
        <v>25</v>
      </c>
      <c r="M80" t="s">
        <v>61</v>
      </c>
      <c r="N80">
        <v>4.8999999999999998E-3</v>
      </c>
      <c r="P80" s="115"/>
      <c r="Q80" s="170">
        <v>220269</v>
      </c>
      <c r="R80" s="169" t="s">
        <v>4234</v>
      </c>
      <c r="S80" s="169">
        <f>S79-1</f>
        <v>7</v>
      </c>
      <c r="T80" s="73" t="s">
        <v>4575</v>
      </c>
      <c r="U80" s="169">
        <v>165.1</v>
      </c>
      <c r="V80" s="99">
        <f>U80*(1+$N$81+$Q$15*S80/36500)</f>
        <v>167.83568438356167</v>
      </c>
      <c r="W80" s="32">
        <f t="shared" si="18"/>
        <v>171.1923980712329</v>
      </c>
      <c r="X80" s="32">
        <f t="shared" si="19"/>
        <v>174.54911175890413</v>
      </c>
      <c r="AC80" s="115"/>
      <c r="AD80" s="115"/>
      <c r="AE80" s="115"/>
      <c r="AF80"/>
      <c r="AH80" s="20">
        <v>60</v>
      </c>
      <c r="AI80" s="117" t="s">
        <v>4363</v>
      </c>
      <c r="AJ80" s="117">
        <v>-2450000</v>
      </c>
      <c r="AK80" s="20">
        <v>5</v>
      </c>
      <c r="AL80" s="99">
        <f>AL81+AK80</f>
        <v>44</v>
      </c>
      <c r="AM80" s="117">
        <f>AJ80*AL80</f>
        <v>-107800000</v>
      </c>
      <c r="AN80" s="20"/>
    </row>
    <row r="81" spans="4:52">
      <c r="D81" s="31" t="s">
        <v>308</v>
      </c>
      <c r="E81" s="1">
        <v>300000</v>
      </c>
      <c r="M81" t="s">
        <v>6</v>
      </c>
      <c r="N81">
        <f>N79+N80</f>
        <v>1.12E-2</v>
      </c>
      <c r="O81" t="s">
        <v>25</v>
      </c>
      <c r="P81" t="s">
        <v>25</v>
      </c>
      <c r="Q81" s="117">
        <v>277822</v>
      </c>
      <c r="R81" s="169" t="s">
        <v>4234</v>
      </c>
      <c r="S81" s="169">
        <f>S80</f>
        <v>7</v>
      </c>
      <c r="T81" s="73" t="s">
        <v>4576</v>
      </c>
      <c r="U81" s="169">
        <v>165</v>
      </c>
      <c r="V81" s="99">
        <f>U81*(1+$N$81+$Q$15*S81/36500)</f>
        <v>167.73402739726029</v>
      </c>
      <c r="W81" s="32">
        <f t="shared" si="18"/>
        <v>171.0887079452055</v>
      </c>
      <c r="X81" s="32">
        <f t="shared" si="19"/>
        <v>174.44338849315071</v>
      </c>
      <c r="AD81" s="115"/>
      <c r="AE81" s="115"/>
      <c r="AF81" s="115"/>
      <c r="AH81" s="20">
        <v>61</v>
      </c>
      <c r="AI81" s="117" t="s">
        <v>4387</v>
      </c>
      <c r="AJ81" s="117">
        <v>-456081</v>
      </c>
      <c r="AK81" s="20">
        <v>1</v>
      </c>
      <c r="AL81" s="99">
        <f t="shared" si="17"/>
        <v>39</v>
      </c>
      <c r="AM81" s="117">
        <f t="shared" si="8"/>
        <v>-17787159</v>
      </c>
      <c r="AN81" s="20"/>
    </row>
    <row r="82" spans="4:52">
      <c r="D82" s="31" t="s">
        <v>309</v>
      </c>
      <c r="E82" s="1">
        <v>100000</v>
      </c>
      <c r="G82" s="48" t="s">
        <v>788</v>
      </c>
      <c r="H82" s="207" t="s">
        <v>476</v>
      </c>
      <c r="Q82" s="170">
        <v>165664</v>
      </c>
      <c r="R82" s="169" t="s">
        <v>4234</v>
      </c>
      <c r="S82" s="169">
        <f>S81</f>
        <v>7</v>
      </c>
      <c r="T82" s="73" t="s">
        <v>4577</v>
      </c>
      <c r="U82" s="169">
        <v>164.9</v>
      </c>
      <c r="V82" s="99">
        <f>U82*(1+$N$81+$Q$15*S82/36500)</f>
        <v>167.63237041095894</v>
      </c>
      <c r="W82" s="32">
        <f t="shared" si="18"/>
        <v>170.98501781917813</v>
      </c>
      <c r="X82" s="32">
        <f t="shared" si="19"/>
        <v>174.33766522739731</v>
      </c>
      <c r="Y82" s="115"/>
      <c r="Z82" s="115"/>
      <c r="AA82" s="115"/>
      <c r="AB82" s="115"/>
      <c r="AC82" s="115"/>
      <c r="AD82" s="115"/>
      <c r="AE82" s="115"/>
      <c r="AF82" s="115"/>
      <c r="AH82" s="20">
        <v>62</v>
      </c>
      <c r="AI82" s="117" t="s">
        <v>4389</v>
      </c>
      <c r="AJ82" s="117">
        <v>-500000</v>
      </c>
      <c r="AK82" s="20">
        <v>2</v>
      </c>
      <c r="AL82" s="99">
        <f>AL83+AK82</f>
        <v>38</v>
      </c>
      <c r="AM82" s="117">
        <f t="shared" si="8"/>
        <v>-19000000</v>
      </c>
      <c r="AN82" s="20"/>
      <c r="AO82" t="s">
        <v>25</v>
      </c>
      <c r="AS82" s="96"/>
      <c r="AU82"/>
      <c r="AW82" t="s">
        <v>25</v>
      </c>
    </row>
    <row r="83" spans="4:52">
      <c r="D83" s="31" t="s">
        <v>310</v>
      </c>
      <c r="E83" s="1">
        <v>200000</v>
      </c>
      <c r="G83" s="47">
        <v>700000</v>
      </c>
      <c r="H83" s="207" t="s">
        <v>1039</v>
      </c>
      <c r="Q83" s="170">
        <v>355909</v>
      </c>
      <c r="R83" s="169" t="s">
        <v>4234</v>
      </c>
      <c r="S83" s="169">
        <f>S82</f>
        <v>7</v>
      </c>
      <c r="T83" s="73" t="s">
        <v>4578</v>
      </c>
      <c r="U83" s="169">
        <v>165.7</v>
      </c>
      <c r="V83" s="99">
        <f>U83*(1+$N$81+$Q$15*S83/36500)</f>
        <v>168.44562630136988</v>
      </c>
      <c r="W83" s="32">
        <f t="shared" si="18"/>
        <v>171.81453882739729</v>
      </c>
      <c r="X83" s="32">
        <f t="shared" si="19"/>
        <v>175.18345135342469</v>
      </c>
      <c r="Y83" s="128"/>
      <c r="Z83" s="115"/>
      <c r="AA83" s="115"/>
      <c r="AB83" s="115"/>
      <c r="AC83" s="128"/>
      <c r="AD83" s="115"/>
      <c r="AE83" s="115"/>
      <c r="AF83" s="115"/>
      <c r="AH83" s="20">
        <v>63</v>
      </c>
      <c r="AI83" s="117" t="s">
        <v>4408</v>
      </c>
      <c r="AJ83" s="117">
        <v>-6234370</v>
      </c>
      <c r="AK83" s="20">
        <v>3</v>
      </c>
      <c r="AL83" s="99">
        <f t="shared" si="17"/>
        <v>36</v>
      </c>
      <c r="AM83" s="117">
        <f t="shared" si="8"/>
        <v>-224437320</v>
      </c>
      <c r="AN83" s="20"/>
      <c r="AS83" s="96"/>
      <c r="AU83"/>
    </row>
    <row r="84" spans="4:52" ht="30">
      <c r="D84" s="18" t="s">
        <v>311</v>
      </c>
      <c r="E84" s="18">
        <v>300000</v>
      </c>
      <c r="G84" s="47">
        <v>500000</v>
      </c>
      <c r="H84" s="207" t="s">
        <v>479</v>
      </c>
      <c r="Q84" s="170">
        <v>2798316</v>
      </c>
      <c r="R84" s="169" t="s">
        <v>4234</v>
      </c>
      <c r="S84" s="169">
        <f>S83</f>
        <v>7</v>
      </c>
      <c r="T84" s="73" t="s">
        <v>4584</v>
      </c>
      <c r="U84" s="169">
        <v>165.6</v>
      </c>
      <c r="V84" s="99">
        <f>U84*(1+$N$81+$Q$15*S84/36500)</f>
        <v>168.34396931506851</v>
      </c>
      <c r="W84" s="32">
        <f t="shared" si="18"/>
        <v>171.71084870136988</v>
      </c>
      <c r="X84" s="32">
        <f t="shared" si="19"/>
        <v>175.07772808767126</v>
      </c>
      <c r="Y84" s="128" t="s">
        <v>25</v>
      </c>
      <c r="Z84" s="115"/>
      <c r="AA84" s="115"/>
      <c r="AB84" s="115"/>
      <c r="AC84" s="128"/>
      <c r="AD84" s="115"/>
      <c r="AE84" s="115"/>
      <c r="AF84" s="115"/>
      <c r="AH84" s="20">
        <v>64</v>
      </c>
      <c r="AI84" s="117" t="s">
        <v>4419</v>
      </c>
      <c r="AJ84" s="117">
        <v>1950957</v>
      </c>
      <c r="AK84" s="20">
        <v>4</v>
      </c>
      <c r="AL84" s="99">
        <f t="shared" si="17"/>
        <v>33</v>
      </c>
      <c r="AM84" s="117">
        <f t="shared" si="8"/>
        <v>64381581</v>
      </c>
      <c r="AN84" s="20"/>
      <c r="AZ84" t="s">
        <v>25</v>
      </c>
    </row>
    <row r="85" spans="4:52" ht="30">
      <c r="D85" s="32" t="s">
        <v>312</v>
      </c>
      <c r="E85" s="1">
        <v>200000</v>
      </c>
      <c r="G85" s="47">
        <v>180000</v>
      </c>
      <c r="H85" s="207" t="s">
        <v>558</v>
      </c>
      <c r="M85" s="199" t="s">
        <v>4598</v>
      </c>
      <c r="P85" t="s">
        <v>25</v>
      </c>
      <c r="Q85" s="170">
        <v>4047881</v>
      </c>
      <c r="R85" s="169" t="s">
        <v>4582</v>
      </c>
      <c r="S85" s="169">
        <f>S84-1</f>
        <v>6</v>
      </c>
      <c r="T85" s="73" t="s">
        <v>4585</v>
      </c>
      <c r="U85" s="169">
        <v>166.2</v>
      </c>
      <c r="V85" s="99">
        <f>U85*(1+$N$81+$Q$15*S85/36500)</f>
        <v>168.82641534246574</v>
      </c>
      <c r="W85" s="32">
        <f t="shared" si="18"/>
        <v>172.20294364931505</v>
      </c>
      <c r="X85" s="32">
        <f t="shared" si="19"/>
        <v>175.57947195616438</v>
      </c>
      <c r="Y85" s="128"/>
      <c r="Z85" s="115"/>
      <c r="AA85" s="115"/>
      <c r="AB85" s="115"/>
      <c r="AC85" s="128"/>
      <c r="AD85" s="115"/>
      <c r="AE85" s="115"/>
      <c r="AF85" s="115"/>
      <c r="AH85" s="20">
        <v>65</v>
      </c>
      <c r="AI85" s="117" t="s">
        <v>4446</v>
      </c>
      <c r="AJ85" s="117">
        <v>600000</v>
      </c>
      <c r="AK85" s="20">
        <v>5</v>
      </c>
      <c r="AL85" s="99">
        <f t="shared" si="17"/>
        <v>29</v>
      </c>
      <c r="AM85" s="117">
        <f t="shared" si="8"/>
        <v>17400000</v>
      </c>
      <c r="AN85" s="20"/>
      <c r="AQ85" t="s">
        <v>25</v>
      </c>
      <c r="AR85" t="s">
        <v>25</v>
      </c>
    </row>
    <row r="86" spans="4:52">
      <c r="D86" s="32" t="s">
        <v>313</v>
      </c>
      <c r="E86" s="1">
        <v>20000</v>
      </c>
      <c r="G86" s="47">
        <v>0</v>
      </c>
      <c r="H86" s="207" t="s">
        <v>784</v>
      </c>
      <c r="M86" t="s">
        <v>4599</v>
      </c>
      <c r="Q86" s="170">
        <v>165865</v>
      </c>
      <c r="R86" s="169" t="s">
        <v>4582</v>
      </c>
      <c r="S86" s="169">
        <f>S85</f>
        <v>6</v>
      </c>
      <c r="T86" s="73" t="s">
        <v>4586</v>
      </c>
      <c r="U86" s="169">
        <v>165.1</v>
      </c>
      <c r="V86" s="99">
        <f>U86*(1+$N$81+$Q$15*S86/36500)</f>
        <v>167.70903232876711</v>
      </c>
      <c r="W86" s="32">
        <f t="shared" si="18"/>
        <v>171.06321297534245</v>
      </c>
      <c r="X86" s="32">
        <f t="shared" si="19"/>
        <v>174.4173936219178</v>
      </c>
      <c r="Y86" s="128"/>
      <c r="Z86" s="115"/>
      <c r="AA86" s="115"/>
      <c r="AB86" s="115"/>
      <c r="AC86" s="128"/>
      <c r="AD86" s="115"/>
      <c r="AE86" s="115"/>
      <c r="AF86" s="115"/>
      <c r="AH86" s="20">
        <v>66</v>
      </c>
      <c r="AI86" s="117" t="s">
        <v>4456</v>
      </c>
      <c r="AJ86" s="117">
        <v>7500000</v>
      </c>
      <c r="AK86" s="20">
        <v>2</v>
      </c>
      <c r="AL86" s="99">
        <f t="shared" si="17"/>
        <v>24</v>
      </c>
      <c r="AM86" s="117">
        <f t="shared" si="8"/>
        <v>180000000</v>
      </c>
      <c r="AN86" s="20"/>
    </row>
    <row r="87" spans="4:52">
      <c r="D87" s="32" t="s">
        <v>315</v>
      </c>
      <c r="E87" s="1">
        <v>50000</v>
      </c>
      <c r="G87" s="47">
        <v>0</v>
      </c>
      <c r="H87" s="207" t="s">
        <v>785</v>
      </c>
      <c r="M87" t="s">
        <v>4600</v>
      </c>
      <c r="Q87" s="170">
        <v>4757151</v>
      </c>
      <c r="R87" s="169" t="s">
        <v>4579</v>
      </c>
      <c r="S87" s="169">
        <f>S86-1</f>
        <v>5</v>
      </c>
      <c r="T87" s="73" t="s">
        <v>4622</v>
      </c>
      <c r="U87" s="169">
        <v>161.4</v>
      </c>
      <c r="V87" s="99">
        <f>U87*(1+$N$81+$Q$15*S87/36500)</f>
        <v>163.82674849315072</v>
      </c>
      <c r="W87" s="32">
        <f t="shared" si="18"/>
        <v>167.10328346301372</v>
      </c>
      <c r="X87" s="32">
        <f t="shared" si="19"/>
        <v>170.37981843287676</v>
      </c>
      <c r="Y87" s="128"/>
      <c r="Z87" s="115"/>
      <c r="AA87" s="115"/>
      <c r="AB87" s="115"/>
      <c r="AC87" s="128"/>
      <c r="AD87" s="115"/>
      <c r="AE87" s="115"/>
      <c r="AF87" s="115"/>
      <c r="AH87" s="20">
        <v>67</v>
      </c>
      <c r="AI87" s="117" t="s">
        <v>4461</v>
      </c>
      <c r="AJ87" s="117">
        <v>-587816</v>
      </c>
      <c r="AK87" s="20">
        <v>3</v>
      </c>
      <c r="AL87" s="99">
        <f t="shared" si="17"/>
        <v>22</v>
      </c>
      <c r="AM87" s="117">
        <f t="shared" si="8"/>
        <v>-12931952</v>
      </c>
      <c r="AN87" s="20"/>
    </row>
    <row r="88" spans="4:52">
      <c r="D88" s="32" t="s">
        <v>316</v>
      </c>
      <c r="E88" s="1">
        <v>90000</v>
      </c>
      <c r="G88" s="47">
        <v>500000</v>
      </c>
      <c r="H88" s="48" t="s">
        <v>786</v>
      </c>
      <c r="M88" t="s">
        <v>4601</v>
      </c>
      <c r="Q88" s="170">
        <v>103273</v>
      </c>
      <c r="R88" s="169" t="s">
        <v>4623</v>
      </c>
      <c r="S88" s="169">
        <f>S87-4</f>
        <v>1</v>
      </c>
      <c r="T88" s="73" t="s">
        <v>4624</v>
      </c>
      <c r="U88" s="169">
        <v>3544.7</v>
      </c>
      <c r="V88" s="99">
        <f>U88*(1+$N$81+$Q$15*S88/36500)</f>
        <v>3587.1198619178081</v>
      </c>
      <c r="W88" s="32">
        <f t="shared" si="18"/>
        <v>3658.8622591561643</v>
      </c>
      <c r="X88" s="32">
        <f t="shared" si="19"/>
        <v>3730.6046563945206</v>
      </c>
      <c r="Y88" s="128"/>
      <c r="Z88" s="115"/>
      <c r="AA88" s="115"/>
      <c r="AB88" s="115"/>
      <c r="AC88" s="128"/>
      <c r="AD88" s="115"/>
      <c r="AE88" s="115"/>
      <c r="AF88" s="115"/>
      <c r="AH88" s="20">
        <v>68</v>
      </c>
      <c r="AI88" s="117" t="s">
        <v>4460</v>
      </c>
      <c r="AJ88" s="117">
        <v>-907489</v>
      </c>
      <c r="AK88" s="20">
        <v>0</v>
      </c>
      <c r="AL88" s="99">
        <f>AL89+AK88</f>
        <v>19</v>
      </c>
      <c r="AM88" s="117">
        <f t="shared" si="8"/>
        <v>-17242291</v>
      </c>
      <c r="AN88" s="20"/>
      <c r="AP88" t="s">
        <v>25</v>
      </c>
      <c r="AV88" t="s">
        <v>25</v>
      </c>
    </row>
    <row r="89" spans="4:52">
      <c r="D89" s="32" t="s">
        <v>317</v>
      </c>
      <c r="E89" s="1">
        <v>50000</v>
      </c>
      <c r="G89" s="47">
        <v>75000</v>
      </c>
      <c r="H89" s="48" t="s">
        <v>787</v>
      </c>
      <c r="M89" t="s">
        <v>4406</v>
      </c>
      <c r="Q89" s="170"/>
      <c r="R89" s="169"/>
      <c r="S89" s="169"/>
      <c r="T89" s="169"/>
      <c r="U89" s="169"/>
      <c r="V89" s="99" t="s">
        <v>25</v>
      </c>
      <c r="W89" s="32"/>
      <c r="X89" s="32"/>
      <c r="Y89" s="115"/>
      <c r="Z89" s="115"/>
      <c r="AA89" s="115"/>
      <c r="AB89" s="115"/>
      <c r="AC89" s="115"/>
      <c r="AD89" s="115"/>
      <c r="AE89" s="115"/>
      <c r="AF89" s="115"/>
      <c r="AG89" s="115"/>
      <c r="AH89" s="20">
        <v>69</v>
      </c>
      <c r="AI89" s="117" t="s">
        <v>4460</v>
      </c>
      <c r="AJ89" s="117">
        <v>2450000</v>
      </c>
      <c r="AK89" s="20">
        <v>1</v>
      </c>
      <c r="AL89" s="99">
        <f t="shared" si="17"/>
        <v>19</v>
      </c>
      <c r="AM89" s="117">
        <f t="shared" si="8"/>
        <v>46550000</v>
      </c>
      <c r="AN89" s="20" t="s">
        <v>4504</v>
      </c>
    </row>
    <row r="90" spans="4:52">
      <c r="D90" s="32" t="s">
        <v>327</v>
      </c>
      <c r="E90" s="1">
        <v>150000</v>
      </c>
      <c r="G90" s="47">
        <v>0</v>
      </c>
      <c r="H90" s="48" t="s">
        <v>789</v>
      </c>
      <c r="M90" t="s">
        <v>4425</v>
      </c>
      <c r="Q90" s="113">
        <f>SUM(N41:N50)-SUM(Q54:Q89)</f>
        <v>-33865245.600000024</v>
      </c>
      <c r="R90" s="112"/>
      <c r="S90" s="112"/>
      <c r="T90" s="112"/>
      <c r="U90" s="169"/>
      <c r="V90" s="99" t="s">
        <v>25</v>
      </c>
      <c r="W90" s="32"/>
      <c r="X90" s="32"/>
      <c r="Y90" s="115"/>
      <c r="Z90" s="115"/>
      <c r="AA90" s="115"/>
      <c r="AB90" s="115"/>
      <c r="AC90" s="115"/>
      <c r="AD90" s="115"/>
      <c r="AE90"/>
      <c r="AG90" s="115"/>
      <c r="AH90" s="20">
        <v>70</v>
      </c>
      <c r="AI90" s="117" t="s">
        <v>4508</v>
      </c>
      <c r="AJ90" s="117">
        <v>1500000</v>
      </c>
      <c r="AK90" s="20">
        <v>1</v>
      </c>
      <c r="AL90" s="99">
        <f t="shared" si="17"/>
        <v>18</v>
      </c>
      <c r="AM90" s="117">
        <f t="shared" si="8"/>
        <v>27000000</v>
      </c>
      <c r="AN90" s="20"/>
      <c r="AP90" t="s">
        <v>25</v>
      </c>
      <c r="AQ90" t="s">
        <v>25</v>
      </c>
      <c r="AU90" s="96" t="s">
        <v>25</v>
      </c>
    </row>
    <row r="91" spans="4:52">
      <c r="D91" s="32" t="s">
        <v>318</v>
      </c>
      <c r="E91" s="1">
        <v>15000</v>
      </c>
      <c r="G91" s="47">
        <v>500000</v>
      </c>
      <c r="H91" s="48" t="s">
        <v>564</v>
      </c>
      <c r="M91" t="s">
        <v>4602</v>
      </c>
      <c r="Q91" s="26"/>
      <c r="R91" s="185"/>
      <c r="S91" s="185"/>
      <c r="T91" t="s">
        <v>25</v>
      </c>
      <c r="U91" s="96" t="s">
        <v>25</v>
      </c>
      <c r="V91" s="96" t="s">
        <v>25</v>
      </c>
      <c r="Y91" s="115"/>
      <c r="Z91" s="115"/>
      <c r="AA91" s="115"/>
      <c r="AE91"/>
      <c r="AG91" s="96"/>
      <c r="AH91" s="20">
        <v>71</v>
      </c>
      <c r="AI91" s="117" t="s">
        <v>4517</v>
      </c>
      <c r="AJ91" s="117">
        <v>2648000</v>
      </c>
      <c r="AK91" s="20">
        <v>1</v>
      </c>
      <c r="AL91" s="99">
        <f t="shared" si="17"/>
        <v>17</v>
      </c>
      <c r="AM91" s="117">
        <f t="shared" si="8"/>
        <v>45016000</v>
      </c>
      <c r="AN91" s="20" t="s">
        <v>4519</v>
      </c>
      <c r="AU91" s="96" t="s">
        <v>25</v>
      </c>
    </row>
    <row r="92" spans="4:52">
      <c r="D92" s="32" t="s">
        <v>319</v>
      </c>
      <c r="E92" s="1">
        <v>20000</v>
      </c>
      <c r="G92" s="47">
        <v>50000</v>
      </c>
      <c r="H92" s="48" t="s">
        <v>792</v>
      </c>
      <c r="M92" t="s">
        <v>4410</v>
      </c>
      <c r="R92" t="s">
        <v>25</v>
      </c>
      <c r="T92" t="s">
        <v>25</v>
      </c>
      <c r="U92" s="96" t="s">
        <v>25</v>
      </c>
      <c r="V92" s="96" t="s">
        <v>25</v>
      </c>
      <c r="W92" s="96" t="s">
        <v>25</v>
      </c>
      <c r="Y92" s="115"/>
      <c r="Z92" s="115"/>
      <c r="AA92" s="115"/>
      <c r="AE92"/>
      <c r="AG92" s="96"/>
      <c r="AH92" s="20">
        <v>72</v>
      </c>
      <c r="AI92" s="117" t="s">
        <v>4235</v>
      </c>
      <c r="AJ92" s="117">
        <v>615000</v>
      </c>
      <c r="AK92" s="20">
        <v>4</v>
      </c>
      <c r="AL92" s="99">
        <f t="shared" si="17"/>
        <v>16</v>
      </c>
      <c r="AM92" s="117">
        <f t="shared" si="8"/>
        <v>9840000</v>
      </c>
      <c r="AN92" s="20"/>
      <c r="AQ92" t="s">
        <v>25</v>
      </c>
      <c r="AV92" t="s">
        <v>25</v>
      </c>
    </row>
    <row r="93" spans="4:52">
      <c r="D93" s="32" t="s">
        <v>320</v>
      </c>
      <c r="E93" s="1">
        <v>40000</v>
      </c>
      <c r="G93" s="47">
        <v>140000</v>
      </c>
      <c r="H93" s="48" t="s">
        <v>314</v>
      </c>
      <c r="M93" t="s">
        <v>4603</v>
      </c>
      <c r="P93" s="115"/>
      <c r="Q93" t="s">
        <v>25</v>
      </c>
      <c r="R93" t="s">
        <v>25</v>
      </c>
      <c r="T93" t="s">
        <v>25</v>
      </c>
      <c r="U93" s="96" t="s">
        <v>25</v>
      </c>
      <c r="V93" s="122" t="s">
        <v>25</v>
      </c>
      <c r="Y93" s="115"/>
      <c r="Z93" s="115"/>
      <c r="AA93" s="115"/>
      <c r="AE93"/>
      <c r="AG93" s="96"/>
      <c r="AH93" s="20">
        <v>73</v>
      </c>
      <c r="AI93" s="117" t="s">
        <v>4532</v>
      </c>
      <c r="AJ93" s="117">
        <v>14000000</v>
      </c>
      <c r="AK93" s="20">
        <v>2</v>
      </c>
      <c r="AL93" s="99">
        <f>AL94+AK93</f>
        <v>12</v>
      </c>
      <c r="AM93" s="117">
        <f t="shared" si="8"/>
        <v>168000000</v>
      </c>
      <c r="AN93" s="20"/>
    </row>
    <row r="94" spans="4:52">
      <c r="D94" s="32" t="s">
        <v>322</v>
      </c>
      <c r="E94" s="1">
        <v>150000</v>
      </c>
      <c r="G94" s="47"/>
      <c r="H94" s="48" t="s">
        <v>25</v>
      </c>
      <c r="M94" t="s">
        <v>4604</v>
      </c>
      <c r="P94" s="128"/>
      <c r="Q94" t="s">
        <v>25</v>
      </c>
      <c r="S94" t="s">
        <v>25</v>
      </c>
      <c r="T94" t="s">
        <v>25</v>
      </c>
      <c r="U94" s="96" t="s">
        <v>25</v>
      </c>
      <c r="W94" s="96" t="s">
        <v>25</v>
      </c>
      <c r="AH94" s="20">
        <v>74</v>
      </c>
      <c r="AI94" s="117" t="s">
        <v>4540</v>
      </c>
      <c r="AJ94" s="117">
        <v>1313000</v>
      </c>
      <c r="AK94" s="20">
        <v>0</v>
      </c>
      <c r="AL94" s="99">
        <f>AL95+AK94</f>
        <v>10</v>
      </c>
      <c r="AM94" s="117">
        <f t="shared" si="8"/>
        <v>13130000</v>
      </c>
      <c r="AN94" s="20"/>
      <c r="AT94" s="96" t="s">
        <v>25</v>
      </c>
    </row>
    <row r="95" spans="4:52">
      <c r="D95" s="32" t="s">
        <v>324</v>
      </c>
      <c r="E95" s="1">
        <v>75000</v>
      </c>
      <c r="G95" s="47">
        <f>SUM(G83:G94)</f>
        <v>2645000</v>
      </c>
      <c r="H95" s="48" t="s">
        <v>6</v>
      </c>
      <c r="M95" t="s">
        <v>4605</v>
      </c>
      <c r="P95" s="128"/>
      <c r="V95" s="96"/>
      <c r="W95"/>
      <c r="AH95" s="99">
        <v>75</v>
      </c>
      <c r="AI95" s="113" t="s">
        <v>4540</v>
      </c>
      <c r="AJ95" s="113">
        <v>2269000</v>
      </c>
      <c r="AK95" s="99">
        <v>1</v>
      </c>
      <c r="AL95" s="99">
        <f t="shared" ref="AL95:AL100" si="20">AL96+AK95</f>
        <v>10</v>
      </c>
      <c r="AM95" s="117">
        <f t="shared" si="8"/>
        <v>22690000</v>
      </c>
      <c r="AN95" s="99"/>
    </row>
    <row r="96" spans="4:52">
      <c r="D96" s="32" t="s">
        <v>314</v>
      </c>
      <c r="E96" s="1">
        <v>140000</v>
      </c>
      <c r="M96" t="s">
        <v>4606</v>
      </c>
      <c r="P96" s="115"/>
      <c r="V96" s="96"/>
      <c r="W96"/>
      <c r="AH96" s="99">
        <v>76</v>
      </c>
      <c r="AI96" s="113" t="s">
        <v>4236</v>
      </c>
      <c r="AJ96" s="113">
        <v>750000</v>
      </c>
      <c r="AK96" s="99">
        <v>4</v>
      </c>
      <c r="AL96" s="99">
        <f t="shared" si="20"/>
        <v>9</v>
      </c>
      <c r="AM96" s="117">
        <f t="shared" si="8"/>
        <v>6750000</v>
      </c>
      <c r="AN96" s="99"/>
    </row>
    <row r="97" spans="4:47">
      <c r="D97" s="2" t="s">
        <v>478</v>
      </c>
      <c r="E97" s="3">
        <v>1083333</v>
      </c>
      <c r="Q97" s="99" t="s">
        <v>4484</v>
      </c>
      <c r="R97" s="99" t="s">
        <v>4486</v>
      </c>
      <c r="S97" s="99"/>
      <c r="T97" s="99" t="s">
        <v>4487</v>
      </c>
      <c r="U97" s="99"/>
      <c r="V97" s="99"/>
      <c r="AH97" s="99">
        <v>77</v>
      </c>
      <c r="AI97" s="113" t="s">
        <v>4559</v>
      </c>
      <c r="AJ97" s="113">
        <v>1900000</v>
      </c>
      <c r="AK97" s="99">
        <v>3</v>
      </c>
      <c r="AL97" s="99">
        <f t="shared" si="20"/>
        <v>5</v>
      </c>
      <c r="AM97" s="117">
        <f t="shared" si="8"/>
        <v>9500000</v>
      </c>
      <c r="AN97" s="99"/>
    </row>
    <row r="98" spans="4:47">
      <c r="D98" s="2"/>
      <c r="E98" s="3"/>
      <c r="H98" s="96"/>
      <c r="Q98" s="113">
        <v>1000</v>
      </c>
      <c r="R98" s="99">
        <v>0.25</v>
      </c>
      <c r="S98" s="99"/>
      <c r="T98" s="99">
        <f>1-R98</f>
        <v>0.75</v>
      </c>
      <c r="U98" s="99"/>
      <c r="V98" s="99"/>
      <c r="AH98" s="99">
        <v>78</v>
      </c>
      <c r="AI98" s="113" t="s">
        <v>4582</v>
      </c>
      <c r="AJ98" s="113">
        <v>6400000</v>
      </c>
      <c r="AK98" s="99">
        <v>1</v>
      </c>
      <c r="AL98" s="99">
        <f t="shared" si="20"/>
        <v>2</v>
      </c>
      <c r="AM98" s="117">
        <f t="shared" si="8"/>
        <v>12800000</v>
      </c>
      <c r="AN98" s="99"/>
    </row>
    <row r="99" spans="4:47">
      <c r="D99" s="2"/>
      <c r="E99" s="3"/>
      <c r="Q99" s="169" t="s">
        <v>4470</v>
      </c>
      <c r="R99" s="169" t="s">
        <v>4489</v>
      </c>
      <c r="S99" s="169" t="s">
        <v>4491</v>
      </c>
      <c r="T99" s="169" t="s">
        <v>180</v>
      </c>
      <c r="U99" s="169" t="s">
        <v>4485</v>
      </c>
      <c r="V99" s="56" t="s">
        <v>4488</v>
      </c>
      <c r="X99" s="115"/>
      <c r="AH99" s="99">
        <v>79</v>
      </c>
      <c r="AI99" s="113" t="s">
        <v>4579</v>
      </c>
      <c r="AJ99" s="113">
        <v>5000</v>
      </c>
      <c r="AK99" s="99">
        <v>1</v>
      </c>
      <c r="AL99" s="99">
        <f t="shared" si="20"/>
        <v>1</v>
      </c>
      <c r="AM99" s="117">
        <f t="shared" si="8"/>
        <v>5000</v>
      </c>
      <c r="AN99" s="99"/>
      <c r="AP99" t="s">
        <v>25</v>
      </c>
    </row>
    <row r="100" spans="4:47">
      <c r="D100" s="2" t="s">
        <v>6</v>
      </c>
      <c r="E100" s="3">
        <f>SUM(E77:E98)</f>
        <v>3383333</v>
      </c>
      <c r="K100" s="169" t="s">
        <v>4607</v>
      </c>
      <c r="L100" s="169" t="s">
        <v>4608</v>
      </c>
      <c r="M100" s="169" t="s">
        <v>4452</v>
      </c>
      <c r="N100" s="56" t="s">
        <v>190</v>
      </c>
      <c r="Q100" s="169" t="s">
        <v>751</v>
      </c>
      <c r="R100" s="56">
        <v>759341</v>
      </c>
      <c r="S100" s="113">
        <f>R100*$T$127</f>
        <v>175847396.51406777</v>
      </c>
      <c r="T100" s="169" t="s">
        <v>4483</v>
      </c>
      <c r="U100" s="169">
        <f>$Q$98*$T$98*S100/$R$123</f>
        <v>508.74982803625437</v>
      </c>
      <c r="V100" s="95">
        <f>S100+U100</f>
        <v>175847905.26389581</v>
      </c>
      <c r="X100" s="163"/>
      <c r="AB100" s="96"/>
      <c r="AC100" s="96"/>
      <c r="AH100" s="99"/>
      <c r="AI100" s="113"/>
      <c r="AJ100" s="113"/>
      <c r="AK100" s="99"/>
      <c r="AL100" s="99">
        <f t="shared" si="20"/>
        <v>0</v>
      </c>
      <c r="AM100" s="117">
        <f t="shared" si="8"/>
        <v>0</v>
      </c>
      <c r="AN100" s="99"/>
    </row>
    <row r="101" spans="4:47">
      <c r="D101" s="2" t="s">
        <v>328</v>
      </c>
      <c r="E101" s="3">
        <f>E100/30</f>
        <v>112777.76666666666</v>
      </c>
      <c r="K101" s="169" t="s">
        <v>4247</v>
      </c>
      <c r="L101" s="170">
        <v>1100000</v>
      </c>
      <c r="M101" s="170">
        <v>1637000</v>
      </c>
      <c r="N101" s="169">
        <f>(M101-L101)*100/L101</f>
        <v>48.81818181818182</v>
      </c>
      <c r="Q101" s="169" t="s">
        <v>4472</v>
      </c>
      <c r="R101" s="56">
        <v>327026</v>
      </c>
      <c r="S101" s="113">
        <f>R101*$T$127</f>
        <v>75732339.874192923</v>
      </c>
      <c r="T101" s="169" t="s">
        <v>4483</v>
      </c>
      <c r="U101" s="169">
        <f>$Q$98*$T$98*S101/$R$123+Q98*R98</f>
        <v>469.10369815851391</v>
      </c>
      <c r="V101" s="95">
        <f>S101+U101</f>
        <v>75732808.977891088</v>
      </c>
      <c r="X101" s="115"/>
      <c r="AB101" s="96"/>
      <c r="AC101" s="96"/>
      <c r="AH101" s="99"/>
      <c r="AI101" s="113"/>
      <c r="AJ101" s="113"/>
      <c r="AK101" s="99"/>
      <c r="AL101" s="99">
        <f t="shared" si="17"/>
        <v>0</v>
      </c>
      <c r="AM101" s="117">
        <f t="shared" si="8"/>
        <v>0</v>
      </c>
      <c r="AN101" s="99"/>
    </row>
    <row r="102" spans="4:47">
      <c r="K102" s="5" t="s">
        <v>4599</v>
      </c>
      <c r="L102" s="170">
        <v>1100000</v>
      </c>
      <c r="M102" s="170">
        <v>4748000</v>
      </c>
      <c r="N102" s="169">
        <f t="shared" ref="N102:N109" si="21">(M102-L102)*100/L102</f>
        <v>331.63636363636363</v>
      </c>
      <c r="Q102" s="169" t="s">
        <v>4471</v>
      </c>
      <c r="R102" s="56">
        <v>33055</v>
      </c>
      <c r="S102" s="113">
        <f>R102*$T$127</f>
        <v>7654842.4117392721</v>
      </c>
      <c r="T102" s="169" t="s">
        <v>4483</v>
      </c>
      <c r="U102" s="169">
        <f>$Q$98*$T$98*S102/$R$123</f>
        <v>22.146473805231629</v>
      </c>
      <c r="V102" s="95">
        <f>S102+U102</f>
        <v>7654864.5582130775</v>
      </c>
      <c r="X102" s="115"/>
      <c r="AB102" s="96"/>
      <c r="AC102" s="96"/>
      <c r="AH102" s="99"/>
      <c r="AI102" s="99"/>
      <c r="AJ102" s="95">
        <f>SUM(AJ20:AJ99)</f>
        <v>233589100</v>
      </c>
      <c r="AK102" s="99"/>
      <c r="AL102" s="99"/>
      <c r="AM102" s="95">
        <f>SUM(AM20:AM101)</f>
        <v>26141214237</v>
      </c>
      <c r="AN102" s="95">
        <f>AM102*AN105/31</f>
        <v>16865299.507741936</v>
      </c>
    </row>
    <row r="103" spans="4:47">
      <c r="K103" s="5" t="s">
        <v>4601</v>
      </c>
      <c r="L103" s="170">
        <v>1100000</v>
      </c>
      <c r="M103" s="170">
        <v>5137000</v>
      </c>
      <c r="N103" s="169">
        <f t="shared" si="21"/>
        <v>367</v>
      </c>
      <c r="Q103" s="169"/>
      <c r="R103" s="56"/>
      <c r="S103" s="169"/>
      <c r="T103" s="169"/>
      <c r="U103" s="169"/>
      <c r="V103" s="99"/>
      <c r="X103" s="115"/>
      <c r="AB103" s="96"/>
      <c r="AC103" s="96"/>
      <c r="AH103" s="99"/>
      <c r="AI103" s="99"/>
      <c r="AJ103" s="99" t="s">
        <v>4062</v>
      </c>
      <c r="AK103" s="99"/>
      <c r="AL103" s="99"/>
      <c r="AM103" s="99" t="s">
        <v>284</v>
      </c>
      <c r="AN103" s="99" t="s">
        <v>943</v>
      </c>
    </row>
    <row r="104" spans="4:47">
      <c r="K104" s="19" t="s">
        <v>4406</v>
      </c>
      <c r="L104" s="170">
        <v>1100000</v>
      </c>
      <c r="M104" s="170">
        <v>4300000</v>
      </c>
      <c r="N104" s="169">
        <f t="shared" si="21"/>
        <v>290.90909090909093</v>
      </c>
      <c r="Q104" s="169"/>
      <c r="R104" s="56"/>
      <c r="S104" s="169"/>
      <c r="T104" s="169"/>
      <c r="U104" s="169"/>
      <c r="V104" s="169"/>
      <c r="W104" s="115"/>
      <c r="X104" s="96"/>
      <c r="AB104" s="96"/>
      <c r="AC104" s="96"/>
      <c r="AH104" s="99"/>
      <c r="AI104" s="99"/>
      <c r="AJ104" s="99"/>
      <c r="AK104" s="99"/>
      <c r="AL104" s="99"/>
      <c r="AM104" s="99"/>
      <c r="AN104" s="99"/>
    </row>
    <row r="105" spans="4:47">
      <c r="K105" s="5" t="s">
        <v>4425</v>
      </c>
      <c r="L105" s="170">
        <v>1100000</v>
      </c>
      <c r="M105" s="170">
        <v>3191000</v>
      </c>
      <c r="N105" s="169">
        <f t="shared" si="21"/>
        <v>190.09090909090909</v>
      </c>
      <c r="Q105" s="169"/>
      <c r="R105" s="169"/>
      <c r="S105" s="169"/>
      <c r="T105" s="169"/>
      <c r="U105" s="169"/>
      <c r="V105" s="169"/>
      <c r="W105" s="115"/>
      <c r="X105" s="96"/>
      <c r="AB105" s="96"/>
      <c r="AC105" s="96"/>
      <c r="AH105" s="99"/>
      <c r="AI105" s="99"/>
      <c r="AJ105" s="99"/>
      <c r="AK105" s="99"/>
      <c r="AL105" s="99"/>
      <c r="AM105" s="99" t="s">
        <v>4063</v>
      </c>
      <c r="AN105" s="99">
        <v>0.02</v>
      </c>
    </row>
    <row r="106" spans="4:47">
      <c r="K106" s="5" t="s">
        <v>4602</v>
      </c>
      <c r="L106" s="170">
        <v>1100000</v>
      </c>
      <c r="M106" s="170">
        <v>5623000</v>
      </c>
      <c r="N106" s="169">
        <f t="shared" si="21"/>
        <v>411.18181818181819</v>
      </c>
      <c r="Q106" s="99"/>
      <c r="R106" s="99"/>
      <c r="S106" s="99"/>
      <c r="T106" s="99" t="s">
        <v>25</v>
      </c>
      <c r="U106" s="99"/>
      <c r="V106" s="99"/>
      <c r="W106" s="115"/>
      <c r="X106" s="96"/>
      <c r="AB106" s="96"/>
      <c r="AC106" s="96"/>
      <c r="AH106" s="99"/>
      <c r="AI106" s="99"/>
      <c r="AJ106" s="99"/>
      <c r="AK106" s="99"/>
      <c r="AL106" s="99"/>
      <c r="AM106" s="99"/>
      <c r="AN106" s="99"/>
    </row>
    <row r="107" spans="4:47">
      <c r="K107" s="19" t="s">
        <v>4410</v>
      </c>
      <c r="L107" s="170">
        <v>1100000</v>
      </c>
      <c r="M107" s="170">
        <v>7728000</v>
      </c>
      <c r="N107" s="169">
        <f t="shared" si="21"/>
        <v>602.5454545454545</v>
      </c>
      <c r="Q107" s="99"/>
      <c r="R107" s="99"/>
      <c r="S107" s="99"/>
      <c r="T107" s="99"/>
      <c r="U107" s="99"/>
      <c r="V107" s="99"/>
      <c r="W107" s="115"/>
      <c r="X107" s="96"/>
      <c r="AB107" s="96"/>
      <c r="AC107" s="96"/>
      <c r="AH107" s="99"/>
      <c r="AI107" s="99" t="s">
        <v>4064</v>
      </c>
      <c r="AJ107" s="95">
        <f>AJ102+AN102</f>
        <v>250454399.50774193</v>
      </c>
      <c r="AK107" s="99"/>
      <c r="AL107" s="99"/>
      <c r="AM107" s="99"/>
      <c r="AN107" s="99"/>
    </row>
    <row r="108" spans="4:47">
      <c r="K108" s="5" t="s">
        <v>4606</v>
      </c>
      <c r="L108" s="170">
        <v>1100000</v>
      </c>
      <c r="M108" s="170">
        <v>2904000</v>
      </c>
      <c r="N108" s="169">
        <f t="shared" si="21"/>
        <v>164</v>
      </c>
      <c r="Q108" s="99"/>
      <c r="R108" s="99"/>
      <c r="S108" s="99"/>
      <c r="T108" s="99"/>
      <c r="U108" s="99"/>
      <c r="V108" s="99"/>
      <c r="W108" s="115"/>
      <c r="X108" s="96"/>
      <c r="AB108" s="96"/>
      <c r="AC108" s="96"/>
      <c r="AI108" t="s">
        <v>4067</v>
      </c>
      <c r="AJ108" s="114">
        <f>SUM(N39:N50)-N43</f>
        <v>231132918.39999998</v>
      </c>
    </row>
    <row r="109" spans="4:47">
      <c r="K109" s="56" t="s">
        <v>1086</v>
      </c>
      <c r="L109" s="170">
        <v>1100000</v>
      </c>
      <c r="M109" s="170">
        <v>3400000</v>
      </c>
      <c r="N109" s="169">
        <f t="shared" si="21"/>
        <v>209.09090909090909</v>
      </c>
      <c r="Q109" s="96"/>
      <c r="R109" s="96"/>
      <c r="S109" s="96"/>
      <c r="T109" s="96"/>
      <c r="V109" s="96"/>
      <c r="X109" s="115"/>
      <c r="AC109" s="96"/>
      <c r="AD109" s="96"/>
      <c r="AE109"/>
      <c r="AF109"/>
      <c r="AI109" t="s">
        <v>4139</v>
      </c>
      <c r="AJ109" s="114">
        <f>AJ108-AJ102</f>
        <v>-2456181.6000000238</v>
      </c>
      <c r="AM109" t="s">
        <v>25</v>
      </c>
    </row>
    <row r="110" spans="4:47">
      <c r="Q110" s="96"/>
      <c r="R110" s="96"/>
      <c r="S110" s="96"/>
      <c r="T110" s="96"/>
      <c r="V110" s="96"/>
      <c r="AI110" t="s">
        <v>943</v>
      </c>
      <c r="AJ110" s="114">
        <f>AN102</f>
        <v>16865299.507741936</v>
      </c>
    </row>
    <row r="111" spans="4:47">
      <c r="Q111" s="96"/>
      <c r="R111" s="96"/>
      <c r="S111" s="96"/>
      <c r="T111" s="96" t="s">
        <v>25</v>
      </c>
      <c r="V111" s="96"/>
      <c r="AI111" t="s">
        <v>4068</v>
      </c>
      <c r="AJ111" s="114">
        <f>AJ108-AJ107</f>
        <v>-19321481.107741952</v>
      </c>
      <c r="AR111" s="96"/>
      <c r="AS111" s="96"/>
      <c r="AT111"/>
      <c r="AU111"/>
    </row>
    <row r="112" spans="4:47">
      <c r="Q112" s="96"/>
      <c r="R112" s="96"/>
      <c r="S112" s="96"/>
      <c r="T112" s="96"/>
      <c r="V112" s="96"/>
      <c r="AM112" t="s">
        <v>25</v>
      </c>
    </row>
    <row r="113" spans="17:43">
      <c r="Q113" s="96"/>
      <c r="R113" s="96"/>
      <c r="S113" s="96"/>
      <c r="T113" s="99" t="s">
        <v>180</v>
      </c>
      <c r="U113" s="99" t="s">
        <v>4509</v>
      </c>
      <c r="V113" s="99" t="s">
        <v>4510</v>
      </c>
      <c r="W113" s="99" t="s">
        <v>4524</v>
      </c>
      <c r="X113" s="99" t="s">
        <v>8</v>
      </c>
      <c r="AJ113" t="s">
        <v>25</v>
      </c>
    </row>
    <row r="114" spans="17:43" ht="30">
      <c r="Q114" s="36" t="s">
        <v>4475</v>
      </c>
      <c r="R114" s="95">
        <f>SUM(N41:N50)</f>
        <v>227974768.39999998</v>
      </c>
      <c r="T114" s="113" t="s">
        <v>4483</v>
      </c>
      <c r="U114" s="56">
        <v>1000000</v>
      </c>
      <c r="V114" s="113">
        <v>239.024</v>
      </c>
      <c r="W114" s="113">
        <f>U114*V114</f>
        <v>239024000</v>
      </c>
      <c r="X114" s="99"/>
    </row>
    <row r="115" spans="17:43">
      <c r="Q115" s="99" t="s">
        <v>4473</v>
      </c>
      <c r="R115" s="95">
        <f>SUM(N21:N24)</f>
        <v>23377014</v>
      </c>
      <c r="T115" s="169" t="s">
        <v>4460</v>
      </c>
      <c r="U115" s="56">
        <v>5904</v>
      </c>
      <c r="V115" s="113">
        <v>237.148</v>
      </c>
      <c r="W115" s="113">
        <f t="shared" ref="W115:W123" si="22">U115*V115</f>
        <v>1400121.7919999999</v>
      </c>
      <c r="X115" s="99" t="s">
        <v>751</v>
      </c>
    </row>
    <row r="116" spans="17:43">
      <c r="Q116" s="99" t="s">
        <v>4474</v>
      </c>
      <c r="R116" s="95">
        <f>SUM(N27:N28)</f>
        <v>2728115.4</v>
      </c>
      <c r="T116" s="169" t="s">
        <v>4235</v>
      </c>
      <c r="U116" s="169">
        <v>1000</v>
      </c>
      <c r="V116" s="113">
        <v>247.393</v>
      </c>
      <c r="W116" s="113">
        <f t="shared" si="22"/>
        <v>247393</v>
      </c>
      <c r="X116" s="99" t="s">
        <v>751</v>
      </c>
    </row>
    <row r="117" spans="17:43">
      <c r="Q117" s="99" t="s">
        <v>4476</v>
      </c>
      <c r="R117" s="95">
        <f>N39</f>
        <v>3756305</v>
      </c>
      <c r="T117" s="169" t="s">
        <v>4528</v>
      </c>
      <c r="U117" s="169">
        <v>8071</v>
      </c>
      <c r="V117" s="113">
        <v>247.797</v>
      </c>
      <c r="W117" s="113">
        <f t="shared" si="22"/>
        <v>1999969.5870000001</v>
      </c>
      <c r="X117" s="99" t="s">
        <v>4471</v>
      </c>
    </row>
    <row r="118" spans="17:43">
      <c r="Q118" s="99" t="s">
        <v>4477</v>
      </c>
      <c r="R118" s="95">
        <f>N20</f>
        <v>0</v>
      </c>
      <c r="T118" s="169" t="s">
        <v>4528</v>
      </c>
      <c r="U118" s="169">
        <v>53672</v>
      </c>
      <c r="V118" s="113">
        <v>247.797</v>
      </c>
      <c r="W118" s="113">
        <f t="shared" si="22"/>
        <v>13299760.584000001</v>
      </c>
      <c r="X118" s="99" t="s">
        <v>452</v>
      </c>
      <c r="AH118" s="99" t="s">
        <v>3643</v>
      </c>
      <c r="AI118" s="99" t="s">
        <v>180</v>
      </c>
      <c r="AJ118" s="99" t="s">
        <v>267</v>
      </c>
      <c r="AK118" s="99" t="s">
        <v>4061</v>
      </c>
      <c r="AL118" s="99" t="s">
        <v>4053</v>
      </c>
      <c r="AM118" s="99" t="s">
        <v>282</v>
      </c>
      <c r="AN118" s="99" t="s">
        <v>4303</v>
      </c>
    </row>
    <row r="119" spans="17:43">
      <c r="Q119" s="99" t="s">
        <v>4478</v>
      </c>
      <c r="R119" s="95">
        <f>N26</f>
        <v>9</v>
      </c>
      <c r="T119" s="169" t="s">
        <v>4540</v>
      </c>
      <c r="U119" s="169">
        <v>4099</v>
      </c>
      <c r="V119" s="113">
        <v>243.93</v>
      </c>
      <c r="W119" s="113">
        <f t="shared" si="22"/>
        <v>999869.07000000007</v>
      </c>
      <c r="X119" s="99" t="s">
        <v>4471</v>
      </c>
      <c r="AH119" s="99">
        <v>1</v>
      </c>
      <c r="AI119" s="99" t="s">
        <v>3952</v>
      </c>
      <c r="AJ119" s="117">
        <v>3555820</v>
      </c>
      <c r="AK119" s="99">
        <v>2</v>
      </c>
      <c r="AL119" s="99">
        <f>AK119+AL120</f>
        <v>157</v>
      </c>
      <c r="AM119" s="99">
        <f>AJ119*AL119</f>
        <v>558263740</v>
      </c>
      <c r="AN119" s="99" t="s">
        <v>4326</v>
      </c>
    </row>
    <row r="120" spans="17:43">
      <c r="Q120" s="99" t="s">
        <v>4490</v>
      </c>
      <c r="R120" s="95">
        <v>687900</v>
      </c>
      <c r="T120" s="169" t="s">
        <v>4540</v>
      </c>
      <c r="U120" s="169">
        <v>9301</v>
      </c>
      <c r="V120" s="113">
        <v>243.93</v>
      </c>
      <c r="W120" s="113">
        <f t="shared" si="22"/>
        <v>2268792.9300000002</v>
      </c>
      <c r="X120" s="99" t="s">
        <v>452</v>
      </c>
      <c r="AH120" s="99">
        <v>2</v>
      </c>
      <c r="AI120" s="99" t="s">
        <v>4027</v>
      </c>
      <c r="AJ120" s="117">
        <v>1720837</v>
      </c>
      <c r="AK120" s="99">
        <v>51</v>
      </c>
      <c r="AL120" s="99">
        <f t="shared" ref="AL120:AL144" si="23">AK120+AL121</f>
        <v>155</v>
      </c>
      <c r="AM120" s="99">
        <f t="shared" ref="AM120:AM144" si="24">AJ120*AL120</f>
        <v>266729735</v>
      </c>
      <c r="AN120" s="99" t="s">
        <v>4327</v>
      </c>
      <c r="AO120" t="s">
        <v>25</v>
      </c>
    </row>
    <row r="121" spans="17:43">
      <c r="Q121" s="99" t="s">
        <v>4545</v>
      </c>
      <c r="R121" s="95">
        <v>190239</v>
      </c>
      <c r="T121" s="169" t="s">
        <v>4558</v>
      </c>
      <c r="U121" s="169">
        <v>8334</v>
      </c>
      <c r="V121" s="113">
        <v>239.97</v>
      </c>
      <c r="W121" s="113">
        <f t="shared" si="22"/>
        <v>1999909.98</v>
      </c>
      <c r="X121" s="99" t="s">
        <v>4471</v>
      </c>
      <c r="AH121" s="99">
        <v>3</v>
      </c>
      <c r="AI121" s="99" t="s">
        <v>4133</v>
      </c>
      <c r="AJ121" s="117">
        <v>150000</v>
      </c>
      <c r="AK121" s="99">
        <v>3</v>
      </c>
      <c r="AL121" s="99">
        <f t="shared" si="23"/>
        <v>104</v>
      </c>
      <c r="AM121" s="99">
        <f t="shared" si="24"/>
        <v>15600000</v>
      </c>
      <c r="AN121" s="99"/>
      <c r="AP121" t="s">
        <v>25</v>
      </c>
    </row>
    <row r="122" spans="17:43">
      <c r="Q122" s="99" t="s">
        <v>4571</v>
      </c>
      <c r="R122" s="95">
        <v>520228</v>
      </c>
      <c r="T122" s="169" t="s">
        <v>4234</v>
      </c>
      <c r="U122" s="169">
        <v>29041</v>
      </c>
      <c r="V122" s="113">
        <v>233.45</v>
      </c>
      <c r="W122" s="113">
        <f t="shared" si="22"/>
        <v>6779621.4499999993</v>
      </c>
      <c r="X122" s="99" t="s">
        <v>751</v>
      </c>
      <c r="AH122" s="99">
        <v>4</v>
      </c>
      <c r="AI122" s="99" t="s">
        <v>4148</v>
      </c>
      <c r="AJ122" s="117">
        <v>-95000</v>
      </c>
      <c r="AK122" s="99">
        <v>8</v>
      </c>
      <c r="AL122" s="99">
        <f t="shared" si="23"/>
        <v>101</v>
      </c>
      <c r="AM122" s="99">
        <f t="shared" si="24"/>
        <v>-9595000</v>
      </c>
      <c r="AN122" s="99"/>
      <c r="AQ122" t="s">
        <v>25</v>
      </c>
    </row>
    <row r="123" spans="17:43">
      <c r="Q123" s="99" t="s">
        <v>4482</v>
      </c>
      <c r="R123" s="95">
        <f>SUM(R114:R122)</f>
        <v>259234578.79999998</v>
      </c>
      <c r="S123" s="115"/>
      <c r="T123" s="169"/>
      <c r="U123" s="169"/>
      <c r="V123" s="113"/>
      <c r="W123" s="113">
        <f t="shared" si="22"/>
        <v>0</v>
      </c>
      <c r="X123" s="99"/>
      <c r="AH123" s="99">
        <v>5</v>
      </c>
      <c r="AI123" s="99" t="s">
        <v>4175</v>
      </c>
      <c r="AJ123" s="117">
        <v>3150000</v>
      </c>
      <c r="AK123" s="99">
        <v>16</v>
      </c>
      <c r="AL123" s="99">
        <f t="shared" si="23"/>
        <v>93</v>
      </c>
      <c r="AM123" s="99">
        <f t="shared" si="24"/>
        <v>292950000</v>
      </c>
      <c r="AN123" s="99"/>
    </row>
    <row r="124" spans="17:43">
      <c r="Q124" s="96"/>
      <c r="S124" s="122"/>
      <c r="T124" s="169"/>
      <c r="U124" s="169">
        <f>SUM(U114:U122)</f>
        <v>1119422</v>
      </c>
      <c r="V124" s="99"/>
      <c r="W124" s="99"/>
      <c r="X124" s="99"/>
      <c r="Y124" t="s">
        <v>25</v>
      </c>
      <c r="AH124" s="99">
        <v>6</v>
      </c>
      <c r="AI124" s="99" t="s">
        <v>4244</v>
      </c>
      <c r="AJ124" s="117">
        <v>-65000</v>
      </c>
      <c r="AK124" s="99">
        <v>1</v>
      </c>
      <c r="AL124" s="99">
        <f t="shared" si="23"/>
        <v>77</v>
      </c>
      <c r="AM124" s="99">
        <f t="shared" si="24"/>
        <v>-5005000</v>
      </c>
      <c r="AN124" s="99"/>
    </row>
    <row r="125" spans="17:43">
      <c r="Q125" s="96"/>
      <c r="R125" s="186"/>
      <c r="S125" s="115"/>
      <c r="T125" s="99"/>
      <c r="U125" s="99" t="s">
        <v>6</v>
      </c>
      <c r="V125" s="99"/>
      <c r="W125" s="99"/>
      <c r="X125" s="99"/>
      <c r="AH125" s="99">
        <v>7</v>
      </c>
      <c r="AI125" s="99" t="s">
        <v>4328</v>
      </c>
      <c r="AJ125" s="117">
        <v>-95000</v>
      </c>
      <c r="AK125" s="99">
        <v>6</v>
      </c>
      <c r="AL125" s="99">
        <f t="shared" si="23"/>
        <v>76</v>
      </c>
      <c r="AM125" s="99">
        <f t="shared" si="24"/>
        <v>-7220000</v>
      </c>
      <c r="AN125" s="99"/>
    </row>
    <row r="126" spans="17:43">
      <c r="Q126" s="96"/>
      <c r="R126" s="186"/>
      <c r="S126" s="115"/>
      <c r="T126" s="206" t="s">
        <v>4511</v>
      </c>
      <c r="AH126" s="99">
        <v>8</v>
      </c>
      <c r="AI126" s="99" t="s">
        <v>4329</v>
      </c>
      <c r="AJ126" s="117">
        <v>232000</v>
      </c>
      <c r="AK126" s="99">
        <v>7</v>
      </c>
      <c r="AL126" s="99">
        <f t="shared" si="23"/>
        <v>70</v>
      </c>
      <c r="AM126" s="99">
        <f t="shared" si="24"/>
        <v>16240000</v>
      </c>
      <c r="AN126" s="99"/>
    </row>
    <row r="127" spans="17:43">
      <c r="Q127" s="96"/>
      <c r="R127" s="115"/>
      <c r="T127" s="205">
        <f>R123/U124</f>
        <v>231.57895664012318</v>
      </c>
      <c r="AH127" s="99">
        <v>9</v>
      </c>
      <c r="AI127" s="99" t="s">
        <v>4302</v>
      </c>
      <c r="AJ127" s="117">
        <v>13000000</v>
      </c>
      <c r="AK127" s="99">
        <v>2</v>
      </c>
      <c r="AL127" s="99">
        <f t="shared" si="23"/>
        <v>63</v>
      </c>
      <c r="AM127" s="99">
        <f t="shared" si="24"/>
        <v>819000000</v>
      </c>
      <c r="AN127" s="99"/>
    </row>
    <row r="128" spans="17:43">
      <c r="W128" s="114"/>
      <c r="AH128" s="99">
        <v>10</v>
      </c>
      <c r="AI128" s="99" t="s">
        <v>4330</v>
      </c>
      <c r="AJ128" s="117">
        <v>10000000</v>
      </c>
      <c r="AK128" s="99">
        <v>3</v>
      </c>
      <c r="AL128" s="99">
        <f t="shared" si="23"/>
        <v>61</v>
      </c>
      <c r="AM128" s="99">
        <f t="shared" si="24"/>
        <v>610000000</v>
      </c>
      <c r="AN128" s="99"/>
    </row>
    <row r="129" spans="17:40">
      <c r="Q129" s="99" t="s">
        <v>4471</v>
      </c>
      <c r="R129" s="99"/>
      <c r="U129" s="96" t="s">
        <v>267</v>
      </c>
      <c r="V129" t="s">
        <v>4512</v>
      </c>
      <c r="AH129" s="99">
        <v>11</v>
      </c>
      <c r="AI129" s="99" t="s">
        <v>4315</v>
      </c>
      <c r="AJ129" s="117">
        <v>3400000</v>
      </c>
      <c r="AK129" s="99">
        <v>9</v>
      </c>
      <c r="AL129" s="99">
        <f t="shared" si="23"/>
        <v>58</v>
      </c>
      <c r="AM129" s="99">
        <f t="shared" si="24"/>
        <v>197200000</v>
      </c>
      <c r="AN129" s="99"/>
    </row>
    <row r="130" spans="17:40">
      <c r="Q130" s="36" t="s">
        <v>180</v>
      </c>
      <c r="R130" s="99" t="s">
        <v>267</v>
      </c>
      <c r="U130" s="113">
        <v>6780000</v>
      </c>
      <c r="V130">
        <f>U130/T127</f>
        <v>29277.271555101663</v>
      </c>
      <c r="AH130" s="99">
        <v>12</v>
      </c>
      <c r="AI130" s="99" t="s">
        <v>4362</v>
      </c>
      <c r="AJ130" s="117">
        <v>-8736514</v>
      </c>
      <c r="AK130" s="99">
        <v>1</v>
      </c>
      <c r="AL130" s="99">
        <f>AK130+AL131</f>
        <v>49</v>
      </c>
      <c r="AM130" s="99">
        <f t="shared" si="24"/>
        <v>-428089186</v>
      </c>
      <c r="AN130" s="99"/>
    </row>
    <row r="131" spans="17:40">
      <c r="Q131" s="99" t="s">
        <v>4460</v>
      </c>
      <c r="R131" s="95">
        <v>3000000</v>
      </c>
      <c r="X131" t="s">
        <v>25</v>
      </c>
      <c r="AH131" s="99">
        <v>13</v>
      </c>
      <c r="AI131" s="99" t="s">
        <v>4363</v>
      </c>
      <c r="AJ131" s="117">
        <v>555000</v>
      </c>
      <c r="AK131" s="99">
        <v>5</v>
      </c>
      <c r="AL131" s="99">
        <f t="shared" ref="AL131:AL143" si="25">AK131+AL132</f>
        <v>48</v>
      </c>
      <c r="AM131" s="99">
        <f t="shared" si="24"/>
        <v>26640000</v>
      </c>
      <c r="AN131" s="99"/>
    </row>
    <row r="132" spans="17:40">
      <c r="Q132" s="99" t="s">
        <v>4528</v>
      </c>
      <c r="R132" s="95">
        <v>2000000</v>
      </c>
      <c r="AH132" s="99">
        <v>14</v>
      </c>
      <c r="AI132" s="99" t="s">
        <v>4387</v>
      </c>
      <c r="AJ132" s="117">
        <v>-448308</v>
      </c>
      <c r="AK132" s="99">
        <v>6</v>
      </c>
      <c r="AL132" s="99">
        <f t="shared" si="25"/>
        <v>43</v>
      </c>
      <c r="AM132" s="99">
        <f t="shared" si="24"/>
        <v>-19277244</v>
      </c>
      <c r="AN132" s="99"/>
    </row>
    <row r="133" spans="17:40">
      <c r="Q133" s="99" t="s">
        <v>4540</v>
      </c>
      <c r="R133" s="95">
        <v>1000000</v>
      </c>
      <c r="AH133" s="99">
        <v>15</v>
      </c>
      <c r="AI133" s="99" t="s">
        <v>4419</v>
      </c>
      <c r="AJ133" s="117">
        <v>33225</v>
      </c>
      <c r="AK133" s="99">
        <v>0</v>
      </c>
      <c r="AL133" s="99">
        <f t="shared" si="25"/>
        <v>37</v>
      </c>
      <c r="AM133" s="99">
        <f t="shared" si="24"/>
        <v>1229325</v>
      </c>
      <c r="AN133" s="99"/>
    </row>
    <row r="134" spans="17:40">
      <c r="Q134" s="99" t="s">
        <v>4558</v>
      </c>
      <c r="R134" s="95">
        <v>2000000</v>
      </c>
      <c r="AH134" s="149">
        <v>16</v>
      </c>
      <c r="AI134" s="149" t="s">
        <v>4419</v>
      </c>
      <c r="AJ134" s="193">
        <v>4098523</v>
      </c>
      <c r="AK134" s="149">
        <v>2</v>
      </c>
      <c r="AL134" s="149">
        <f t="shared" si="25"/>
        <v>37</v>
      </c>
      <c r="AM134" s="149">
        <f t="shared" si="24"/>
        <v>151645351</v>
      </c>
      <c r="AN134" s="149" t="s">
        <v>657</v>
      </c>
    </row>
    <row r="135" spans="17:40" ht="60">
      <c r="Q135" s="99"/>
      <c r="R135" s="95"/>
      <c r="T135" s="22" t="s">
        <v>4493</v>
      </c>
      <c r="AH135" s="149">
        <v>17</v>
      </c>
      <c r="AI135" s="149" t="s">
        <v>4433</v>
      </c>
      <c r="AJ135" s="193">
        <v>-1000000</v>
      </c>
      <c r="AK135" s="149">
        <v>7</v>
      </c>
      <c r="AL135" s="149">
        <f t="shared" si="25"/>
        <v>35</v>
      </c>
      <c r="AM135" s="149">
        <f t="shared" si="24"/>
        <v>-35000000</v>
      </c>
      <c r="AN135" s="149" t="s">
        <v>657</v>
      </c>
    </row>
    <row r="136" spans="17:40" ht="45">
      <c r="Q136" s="99"/>
      <c r="R136" s="95"/>
      <c r="T136" s="22" t="s">
        <v>4494</v>
      </c>
      <c r="AH136" s="149">
        <v>18</v>
      </c>
      <c r="AI136" s="149" t="s">
        <v>4456</v>
      </c>
      <c r="AJ136" s="193">
        <v>750000</v>
      </c>
      <c r="AK136" s="149">
        <v>1</v>
      </c>
      <c r="AL136" s="149">
        <f t="shared" si="25"/>
        <v>28</v>
      </c>
      <c r="AM136" s="149">
        <f t="shared" si="24"/>
        <v>21000000</v>
      </c>
      <c r="AN136" s="149" t="s">
        <v>657</v>
      </c>
    </row>
    <row r="137" spans="17:40">
      <c r="Q137" s="99"/>
      <c r="R137" s="95">
        <f>SUM(R131:R135)</f>
        <v>8000000</v>
      </c>
      <c r="AH137" s="201">
        <v>19</v>
      </c>
      <c r="AI137" s="201" t="s">
        <v>4458</v>
      </c>
      <c r="AJ137" s="202">
        <v>-604152</v>
      </c>
      <c r="AK137" s="201">
        <v>0</v>
      </c>
      <c r="AL137" s="201">
        <f t="shared" si="25"/>
        <v>27</v>
      </c>
      <c r="AM137" s="201">
        <f t="shared" si="24"/>
        <v>-16312104</v>
      </c>
      <c r="AN137" s="201" t="s">
        <v>657</v>
      </c>
    </row>
    <row r="138" spans="17:40">
      <c r="Q138" s="99"/>
      <c r="R138" s="99" t="s">
        <v>6</v>
      </c>
      <c r="AH138" s="99">
        <v>20</v>
      </c>
      <c r="AI138" s="99" t="s">
        <v>4459</v>
      </c>
      <c r="AJ138" s="117">
        <v>-587083</v>
      </c>
      <c r="AK138" s="99">
        <v>4</v>
      </c>
      <c r="AL138" s="99">
        <f t="shared" si="25"/>
        <v>27</v>
      </c>
      <c r="AM138" s="99">
        <f t="shared" si="24"/>
        <v>-15851241</v>
      </c>
      <c r="AN138" s="99"/>
    </row>
    <row r="139" spans="17:40">
      <c r="T139" s="99" t="s">
        <v>4513</v>
      </c>
      <c r="U139" s="99" t="s">
        <v>4482</v>
      </c>
      <c r="V139" s="99" t="s">
        <v>953</v>
      </c>
      <c r="AH139" s="201">
        <v>21</v>
      </c>
      <c r="AI139" s="201" t="s">
        <v>4460</v>
      </c>
      <c r="AJ139" s="202">
        <v>-754351</v>
      </c>
      <c r="AK139" s="201">
        <v>0</v>
      </c>
      <c r="AL139" s="99">
        <f t="shared" si="25"/>
        <v>23</v>
      </c>
      <c r="AM139" s="201">
        <f t="shared" si="24"/>
        <v>-17350073</v>
      </c>
      <c r="AN139" s="201" t="s">
        <v>657</v>
      </c>
    </row>
    <row r="140" spans="17:40">
      <c r="Q140" s="96"/>
      <c r="R140" s="96"/>
      <c r="T140" s="95">
        <f>R137+R150+R159</f>
        <v>268019393</v>
      </c>
      <c r="U140" s="95">
        <f>R123</f>
        <v>259234578.79999998</v>
      </c>
      <c r="V140" s="95">
        <f>U140-T140</f>
        <v>-8784814.2000000179</v>
      </c>
      <c r="AH140" s="99">
        <v>22</v>
      </c>
      <c r="AI140" s="99" t="s">
        <v>4460</v>
      </c>
      <c r="AJ140" s="117">
        <v>-189619</v>
      </c>
      <c r="AK140" s="99">
        <v>15</v>
      </c>
      <c r="AL140" s="99">
        <f t="shared" si="25"/>
        <v>23</v>
      </c>
      <c r="AM140" s="99">
        <f t="shared" si="24"/>
        <v>-4361237</v>
      </c>
      <c r="AN140" s="99"/>
    </row>
    <row r="141" spans="17:40">
      <c r="Q141" s="96"/>
      <c r="R141" s="96"/>
      <c r="AH141" s="201">
        <v>23</v>
      </c>
      <c r="AI141" s="201" t="s">
        <v>4565</v>
      </c>
      <c r="AJ141" s="201">
        <v>7100</v>
      </c>
      <c r="AK141" s="201">
        <v>0</v>
      </c>
      <c r="AL141" s="99">
        <f t="shared" si="25"/>
        <v>8</v>
      </c>
      <c r="AM141" s="201">
        <f t="shared" si="24"/>
        <v>56800</v>
      </c>
      <c r="AN141" s="201" t="s">
        <v>657</v>
      </c>
    </row>
    <row r="142" spans="17:40">
      <c r="AH142" s="20">
        <v>24</v>
      </c>
      <c r="AI142" s="20" t="s">
        <v>4565</v>
      </c>
      <c r="AJ142" s="20">
        <v>-147902</v>
      </c>
      <c r="AK142" s="20">
        <v>3</v>
      </c>
      <c r="AL142" s="99">
        <f t="shared" si="25"/>
        <v>8</v>
      </c>
      <c r="AM142" s="201">
        <f t="shared" si="24"/>
        <v>-1183216</v>
      </c>
      <c r="AN142" s="20"/>
    </row>
    <row r="143" spans="17:40">
      <c r="Q143" s="99" t="s">
        <v>751</v>
      </c>
      <c r="R143" s="99"/>
      <c r="AH143" s="149">
        <v>25</v>
      </c>
      <c r="AI143" s="149" t="s">
        <v>4579</v>
      </c>
      <c r="AJ143" s="149">
        <v>-37200</v>
      </c>
      <c r="AK143" s="149">
        <v>4</v>
      </c>
      <c r="AL143" s="99">
        <f t="shared" si="25"/>
        <v>5</v>
      </c>
      <c r="AM143" s="201">
        <f t="shared" si="24"/>
        <v>-186000</v>
      </c>
      <c r="AN143" s="149" t="s">
        <v>657</v>
      </c>
    </row>
    <row r="144" spans="17:40">
      <c r="Q144" s="99" t="s">
        <v>4460</v>
      </c>
      <c r="R144" s="95">
        <v>172908000</v>
      </c>
      <c r="AH144" s="99">
        <v>26</v>
      </c>
      <c r="AI144" s="99" t="s">
        <v>4623</v>
      </c>
      <c r="AJ144" s="99">
        <v>-372326</v>
      </c>
      <c r="AK144" s="99">
        <v>1</v>
      </c>
      <c r="AL144" s="99">
        <f t="shared" si="23"/>
        <v>1</v>
      </c>
      <c r="AM144" s="99">
        <f t="shared" si="24"/>
        <v>-372326</v>
      </c>
      <c r="AN144" s="99"/>
    </row>
    <row r="145" spans="17:44">
      <c r="Q145" s="99" t="s">
        <v>4508</v>
      </c>
      <c r="R145" s="95">
        <v>1400000</v>
      </c>
      <c r="AH145" s="99"/>
      <c r="AI145" s="99"/>
      <c r="AJ145" s="99"/>
      <c r="AK145" s="99"/>
      <c r="AL145" s="99"/>
      <c r="AM145" s="99"/>
      <c r="AN145" s="99"/>
    </row>
    <row r="146" spans="17:44">
      <c r="Q146" s="99" t="s">
        <v>4235</v>
      </c>
      <c r="R146" s="95">
        <v>247393</v>
      </c>
      <c r="AH146" s="99"/>
      <c r="AI146" s="99"/>
      <c r="AJ146" s="95">
        <f>SUM(AJ119:AJ145)</f>
        <v>27520050</v>
      </c>
      <c r="AK146" s="99"/>
      <c r="AL146" s="99"/>
      <c r="AM146" s="99">
        <f>SUM(AM119:AM145)</f>
        <v>2416752324</v>
      </c>
      <c r="AN146" s="95">
        <f>AM146*AN105/31</f>
        <v>1559195.0477419356</v>
      </c>
      <c r="AR146" t="s">
        <v>25</v>
      </c>
    </row>
    <row r="147" spans="17:44">
      <c r="Q147" s="99" t="s">
        <v>4234</v>
      </c>
      <c r="R147" s="95">
        <v>6780000</v>
      </c>
      <c r="AJ147" t="s">
        <v>4062</v>
      </c>
      <c r="AM147" t="s">
        <v>284</v>
      </c>
      <c r="AN147" t="s">
        <v>943</v>
      </c>
    </row>
    <row r="148" spans="17:44">
      <c r="Q148" s="99"/>
      <c r="R148" s="95"/>
    </row>
    <row r="149" spans="17:44">
      <c r="Q149" s="99"/>
      <c r="R149" s="95"/>
      <c r="AI149" t="s">
        <v>4064</v>
      </c>
      <c r="AJ149" s="114">
        <f>AJ146+AN146</f>
        <v>29079245.047741935</v>
      </c>
    </row>
    <row r="150" spans="17:44">
      <c r="Q150" s="99"/>
      <c r="R150" s="95">
        <f>SUM(R144:R148)</f>
        <v>181335393</v>
      </c>
      <c r="AI150" t="s">
        <v>4067</v>
      </c>
      <c r="AJ150" s="114">
        <f>SUM(N20:N28)</f>
        <v>26105138.399999999</v>
      </c>
    </row>
    <row r="151" spans="17:44">
      <c r="Q151" s="99"/>
      <c r="R151" s="99" t="s">
        <v>6</v>
      </c>
      <c r="AI151" t="s">
        <v>4139</v>
      </c>
      <c r="AJ151" s="114">
        <f>AJ150-AJ146</f>
        <v>-1414911.6000000015</v>
      </c>
    </row>
    <row r="152" spans="17:44">
      <c r="AI152" t="s">
        <v>943</v>
      </c>
      <c r="AJ152" s="114">
        <f>AN146</f>
        <v>1559195.0477419356</v>
      </c>
    </row>
    <row r="153" spans="17:44">
      <c r="AI153" t="s">
        <v>4068</v>
      </c>
      <c r="AJ153" s="114">
        <f>AJ151-AJ152</f>
        <v>-2974106.6477419371</v>
      </c>
    </row>
    <row r="154" spans="17:44">
      <c r="Q154" s="99" t="s">
        <v>452</v>
      </c>
      <c r="R154" s="99"/>
    </row>
    <row r="155" spans="17:44">
      <c r="Q155" s="99" t="s">
        <v>4460</v>
      </c>
      <c r="R155" s="95">
        <v>63115000</v>
      </c>
    </row>
    <row r="156" spans="17:44">
      <c r="Q156" s="99" t="s">
        <v>4528</v>
      </c>
      <c r="R156" s="95">
        <v>13300000</v>
      </c>
      <c r="T156" t="s">
        <v>25</v>
      </c>
    </row>
    <row r="157" spans="17:44">
      <c r="Q157" s="99" t="s">
        <v>4540</v>
      </c>
      <c r="R157" s="95">
        <v>2269000</v>
      </c>
    </row>
    <row r="158" spans="17:44">
      <c r="Q158" s="99"/>
      <c r="R158" s="95"/>
    </row>
    <row r="159" spans="17:44">
      <c r="Q159" s="99"/>
      <c r="R159" s="95">
        <f>SUM(R155:R157)</f>
        <v>78684000</v>
      </c>
    </row>
    <row r="160" spans="17:44">
      <c r="Q160" s="99"/>
      <c r="R160" s="99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67:G81 G1:G65 G96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7:P28 S28 P22 U101 S67 S85:S8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"/>
  <sheetViews>
    <sheetView workbookViewId="0">
      <selection activeCell="U26" sqref="U26"/>
    </sheetView>
  </sheetViews>
  <sheetFormatPr defaultRowHeight="15"/>
  <cols>
    <col min="1" max="1" width="5" bestFit="1" customWidth="1"/>
    <col min="2" max="2" width="8.7109375" style="96" bestFit="1" customWidth="1"/>
    <col min="3" max="3" width="8.85546875" bestFit="1" customWidth="1"/>
    <col min="5" max="5" width="12.5703125" bestFit="1" customWidth="1"/>
    <col min="6" max="6" width="14.85546875" bestFit="1" customWidth="1"/>
    <col min="7" max="7" width="12.42578125" bestFit="1" customWidth="1"/>
    <col min="8" max="8" width="9.85546875" customWidth="1"/>
    <col min="17" max="17" width="14.85546875" style="96" bestFit="1" customWidth="1"/>
    <col min="18" max="18" width="11.28515625" style="96" bestFit="1" customWidth="1"/>
    <col min="19" max="19" width="19.42578125" bestFit="1" customWidth="1"/>
    <col min="20" max="20" width="11.42578125" bestFit="1" customWidth="1"/>
    <col min="21" max="21" width="8.5703125" customWidth="1"/>
    <col min="22" max="22" width="8.28515625" customWidth="1"/>
    <col min="23" max="23" width="8.5703125" customWidth="1"/>
    <col min="24" max="24" width="7" customWidth="1"/>
  </cols>
  <sheetData>
    <row r="1" spans="1:25">
      <c r="A1" s="99" t="s">
        <v>3643</v>
      </c>
      <c r="B1" s="99" t="s">
        <v>180</v>
      </c>
      <c r="C1" s="99" t="s">
        <v>4283</v>
      </c>
      <c r="D1" s="99" t="s">
        <v>4284</v>
      </c>
      <c r="E1" s="99" t="s">
        <v>4285</v>
      </c>
      <c r="F1" s="99" t="s">
        <v>4286</v>
      </c>
      <c r="G1" s="74" t="s">
        <v>4287</v>
      </c>
      <c r="H1" s="74" t="s">
        <v>4451</v>
      </c>
      <c r="I1" s="74" t="s">
        <v>4310</v>
      </c>
      <c r="N1" s="99" t="s">
        <v>949</v>
      </c>
      <c r="O1" s="99">
        <v>6.3E-3</v>
      </c>
    </row>
    <row r="2" spans="1:25">
      <c r="A2" s="99">
        <v>1</v>
      </c>
      <c r="B2" s="99" t="s">
        <v>4175</v>
      </c>
      <c r="C2" s="170">
        <v>192</v>
      </c>
      <c r="D2" s="99">
        <v>0</v>
      </c>
      <c r="E2" s="99">
        <v>1000000</v>
      </c>
      <c r="F2" s="170">
        <v>0</v>
      </c>
      <c r="G2" s="74">
        <v>0</v>
      </c>
      <c r="H2" s="74">
        <v>191</v>
      </c>
      <c r="I2" s="74">
        <v>198</v>
      </c>
      <c r="N2" s="99" t="s">
        <v>61</v>
      </c>
      <c r="O2" s="99">
        <v>4.8999999999999998E-3</v>
      </c>
    </row>
    <row r="3" spans="1:25">
      <c r="A3" s="99">
        <v>2</v>
      </c>
      <c r="B3" s="99"/>
      <c r="C3" s="170">
        <v>102</v>
      </c>
      <c r="D3" s="99">
        <v>-20000</v>
      </c>
      <c r="E3" s="99">
        <f>E2+D3</f>
        <v>980000</v>
      </c>
      <c r="F3" s="170">
        <f>-C3*D3*(1-IF(D3&lt;0,$O$1,$O$2))</f>
        <v>2027148</v>
      </c>
      <c r="G3" s="170">
        <f>ABS(C3*D3*IF(D3&lt;0,$O$1,$O$2))</f>
        <v>12852</v>
      </c>
      <c r="N3" s="99" t="s">
        <v>6</v>
      </c>
      <c r="O3" s="99">
        <f>O1+O2</f>
        <v>1.12E-2</v>
      </c>
    </row>
    <row r="4" spans="1:25">
      <c r="A4" s="99">
        <v>3</v>
      </c>
      <c r="B4" s="99"/>
      <c r="C4" s="170">
        <v>104</v>
      </c>
      <c r="D4" s="99">
        <v>-20000</v>
      </c>
      <c r="E4" s="99">
        <f t="shared" ref="E4:E24" si="0">E3+D4</f>
        <v>960000</v>
      </c>
      <c r="F4" s="170">
        <f t="shared" ref="F4:F24" si="1">-C4*D4*(1-IF(D4&lt;0,$O$1,$O$2))</f>
        <v>2066896</v>
      </c>
      <c r="G4" s="170">
        <f t="shared" ref="G4:G24" si="2">ABS(C4*D4*IF(D4&lt;0,$O$1,$O$2))</f>
        <v>13104</v>
      </c>
    </row>
    <row r="5" spans="1:25">
      <c r="A5" s="99">
        <v>4</v>
      </c>
      <c r="B5" s="99"/>
      <c r="C5" s="170">
        <v>102</v>
      </c>
      <c r="D5" s="99">
        <v>20000</v>
      </c>
      <c r="E5" s="99">
        <f t="shared" si="0"/>
        <v>980000</v>
      </c>
      <c r="F5" s="170">
        <f t="shared" si="1"/>
        <v>-2030004</v>
      </c>
      <c r="G5" s="170">
        <f t="shared" si="2"/>
        <v>9996</v>
      </c>
    </row>
    <row r="6" spans="1:25">
      <c r="A6" s="99">
        <v>5</v>
      </c>
      <c r="B6" s="99"/>
      <c r="C6" s="170">
        <v>100</v>
      </c>
      <c r="D6" s="99">
        <v>20000</v>
      </c>
      <c r="E6" s="99">
        <f t="shared" si="0"/>
        <v>1000000</v>
      </c>
      <c r="F6" s="170">
        <f t="shared" si="1"/>
        <v>-1990200</v>
      </c>
      <c r="G6" s="170">
        <f t="shared" si="2"/>
        <v>9800</v>
      </c>
    </row>
    <row r="7" spans="1:25">
      <c r="A7" s="99">
        <v>6</v>
      </c>
      <c r="B7" s="99"/>
      <c r="C7" s="170">
        <v>98</v>
      </c>
      <c r="D7" s="99">
        <v>20000</v>
      </c>
      <c r="E7" s="99">
        <f t="shared" si="0"/>
        <v>1020000</v>
      </c>
      <c r="F7" s="170">
        <f t="shared" si="1"/>
        <v>-1950396</v>
      </c>
      <c r="G7" s="170">
        <f t="shared" si="2"/>
        <v>9604</v>
      </c>
    </row>
    <row r="8" spans="1:25">
      <c r="A8" s="99">
        <v>7</v>
      </c>
      <c r="B8" s="99"/>
      <c r="C8" s="170">
        <v>96</v>
      </c>
      <c r="D8" s="99">
        <v>20000</v>
      </c>
      <c r="E8" s="99">
        <f t="shared" si="0"/>
        <v>1040000</v>
      </c>
      <c r="F8" s="170">
        <f t="shared" si="1"/>
        <v>-1910592</v>
      </c>
      <c r="G8" s="170">
        <f t="shared" si="2"/>
        <v>9408</v>
      </c>
    </row>
    <row r="9" spans="1:25">
      <c r="A9" s="99">
        <v>8</v>
      </c>
      <c r="B9" s="99"/>
      <c r="C9" s="170">
        <v>98</v>
      </c>
      <c r="D9" s="99">
        <v>-20000</v>
      </c>
      <c r="E9" s="99">
        <f t="shared" si="0"/>
        <v>1020000</v>
      </c>
      <c r="F9" s="170">
        <f t="shared" si="1"/>
        <v>1947652</v>
      </c>
      <c r="G9" s="170">
        <f t="shared" si="2"/>
        <v>12348</v>
      </c>
      <c r="Q9" s="96">
        <v>1000000</v>
      </c>
      <c r="R9" s="96">
        <f>Q9*0.03</f>
        <v>30000</v>
      </c>
    </row>
    <row r="10" spans="1:25">
      <c r="A10" s="99">
        <v>9</v>
      </c>
      <c r="B10" s="99"/>
      <c r="C10" s="170">
        <v>96</v>
      </c>
      <c r="D10" s="99">
        <v>20000</v>
      </c>
      <c r="E10" s="99">
        <f t="shared" si="0"/>
        <v>1040000</v>
      </c>
      <c r="F10" s="170">
        <f t="shared" si="1"/>
        <v>-1910592</v>
      </c>
      <c r="G10" s="170">
        <f t="shared" si="2"/>
        <v>9408</v>
      </c>
      <c r="Q10" s="96">
        <v>200</v>
      </c>
      <c r="R10" s="96">
        <f>Q10*0.03</f>
        <v>6</v>
      </c>
      <c r="S10" s="96">
        <f>Q10*R9</f>
        <v>6000000</v>
      </c>
      <c r="T10" s="96"/>
      <c r="U10" s="96"/>
      <c r="V10" s="96"/>
      <c r="W10" s="96"/>
    </row>
    <row r="11" spans="1:25">
      <c r="A11" s="99">
        <v>10</v>
      </c>
      <c r="B11" s="99"/>
      <c r="C11" s="170">
        <v>98</v>
      </c>
      <c r="D11" s="99">
        <v>-20000</v>
      </c>
      <c r="E11" s="99">
        <f t="shared" si="0"/>
        <v>1020000</v>
      </c>
      <c r="F11" s="170">
        <f t="shared" si="1"/>
        <v>1947652</v>
      </c>
      <c r="G11" s="170">
        <f t="shared" si="2"/>
        <v>12348</v>
      </c>
      <c r="T11" s="96"/>
      <c r="U11" s="96"/>
      <c r="V11" s="96"/>
      <c r="W11" s="96"/>
    </row>
    <row r="12" spans="1:25">
      <c r="A12" s="99">
        <v>11</v>
      </c>
      <c r="B12" s="99"/>
      <c r="C12" s="170">
        <v>100</v>
      </c>
      <c r="D12" s="99">
        <v>-20000</v>
      </c>
      <c r="E12" s="99">
        <f t="shared" si="0"/>
        <v>1000000</v>
      </c>
      <c r="F12" s="170">
        <f t="shared" si="1"/>
        <v>1987400</v>
      </c>
      <c r="G12" s="170">
        <f t="shared" si="2"/>
        <v>12600</v>
      </c>
      <c r="O12" s="96"/>
      <c r="P12" s="96"/>
      <c r="S12" s="96"/>
      <c r="T12" s="96"/>
      <c r="U12" s="96"/>
      <c r="V12" s="96"/>
      <c r="W12" s="96"/>
      <c r="X12" s="96"/>
      <c r="Y12" s="96"/>
    </row>
    <row r="13" spans="1:25">
      <c r="A13" s="99">
        <v>12</v>
      </c>
      <c r="B13" s="99"/>
      <c r="C13" s="170">
        <v>102</v>
      </c>
      <c r="D13" s="99">
        <v>-20000</v>
      </c>
      <c r="E13" s="99">
        <f t="shared" si="0"/>
        <v>980000</v>
      </c>
      <c r="F13" s="170">
        <f t="shared" si="1"/>
        <v>2027148</v>
      </c>
      <c r="G13" s="170">
        <f t="shared" si="2"/>
        <v>12852</v>
      </c>
      <c r="O13" s="96"/>
      <c r="P13" s="96"/>
      <c r="Q13" s="96">
        <v>1</v>
      </c>
      <c r="R13" s="96">
        <v>100000</v>
      </c>
      <c r="S13" s="96"/>
      <c r="T13" s="96"/>
      <c r="U13" s="96"/>
      <c r="V13" s="96"/>
      <c r="W13" s="96"/>
      <c r="X13" s="96"/>
      <c r="Y13" s="96"/>
    </row>
    <row r="14" spans="1:25">
      <c r="A14" s="99">
        <v>13</v>
      </c>
      <c r="B14" s="99"/>
      <c r="C14" s="170">
        <v>104</v>
      </c>
      <c r="D14" s="99">
        <v>-20000</v>
      </c>
      <c r="E14" s="99">
        <f t="shared" si="0"/>
        <v>960000</v>
      </c>
      <c r="F14" s="170">
        <f t="shared" si="1"/>
        <v>2066896</v>
      </c>
      <c r="G14" s="170">
        <f t="shared" si="2"/>
        <v>13104</v>
      </c>
      <c r="O14" s="96"/>
      <c r="P14" s="96"/>
      <c r="S14" s="96"/>
      <c r="T14" s="96"/>
      <c r="U14" s="96"/>
      <c r="V14" s="96"/>
      <c r="W14" s="96"/>
      <c r="X14" s="96"/>
      <c r="Y14" s="96"/>
    </row>
    <row r="15" spans="1:25">
      <c r="A15" s="99">
        <v>14</v>
      </c>
      <c r="B15" s="99"/>
      <c r="C15" s="170">
        <v>102</v>
      </c>
      <c r="D15" s="99">
        <v>20000</v>
      </c>
      <c r="E15" s="99">
        <f t="shared" si="0"/>
        <v>980000</v>
      </c>
      <c r="F15" s="170">
        <f t="shared" si="1"/>
        <v>-2030004</v>
      </c>
      <c r="G15" s="170">
        <f t="shared" si="2"/>
        <v>9996</v>
      </c>
      <c r="O15" s="96"/>
      <c r="P15" s="96"/>
      <c r="S15" s="96"/>
      <c r="T15" s="96"/>
      <c r="U15" s="96"/>
      <c r="V15" s="96"/>
      <c r="W15" s="96"/>
      <c r="X15" s="96"/>
      <c r="Y15" s="96"/>
    </row>
    <row r="16" spans="1:25">
      <c r="A16" s="99">
        <v>15</v>
      </c>
      <c r="B16" s="99"/>
      <c r="C16" s="170">
        <v>100</v>
      </c>
      <c r="D16" s="99">
        <v>20000</v>
      </c>
      <c r="E16" s="99">
        <f t="shared" si="0"/>
        <v>1000000</v>
      </c>
      <c r="F16" s="170">
        <f t="shared" si="1"/>
        <v>-1990200</v>
      </c>
      <c r="G16" s="170">
        <f t="shared" si="2"/>
        <v>9800</v>
      </c>
      <c r="O16" s="96"/>
      <c r="P16" s="96"/>
      <c r="S16" s="96"/>
      <c r="T16" s="96"/>
      <c r="U16" s="96"/>
      <c r="V16" s="96"/>
      <c r="W16" s="96"/>
      <c r="X16" s="96"/>
      <c r="Y16" s="96"/>
    </row>
    <row r="17" spans="1:26">
      <c r="A17" s="99">
        <v>16</v>
      </c>
      <c r="B17" s="99"/>
      <c r="C17" s="170">
        <v>102</v>
      </c>
      <c r="D17" s="99">
        <v>-20000</v>
      </c>
      <c r="E17" s="99">
        <f t="shared" si="0"/>
        <v>980000</v>
      </c>
      <c r="F17" s="170">
        <f t="shared" si="1"/>
        <v>2027148</v>
      </c>
      <c r="G17" s="170">
        <f t="shared" si="2"/>
        <v>12852</v>
      </c>
      <c r="O17" s="96"/>
      <c r="P17" s="96"/>
      <c r="S17" s="96"/>
      <c r="T17" s="96"/>
      <c r="U17" s="96"/>
      <c r="V17" s="96"/>
      <c r="W17" s="96"/>
      <c r="X17" s="96"/>
      <c r="Y17" s="96"/>
    </row>
    <row r="18" spans="1:26">
      <c r="A18" s="99">
        <v>17</v>
      </c>
      <c r="B18" s="99"/>
      <c r="C18" s="170">
        <v>104</v>
      </c>
      <c r="D18" s="99">
        <v>-20000</v>
      </c>
      <c r="E18" s="99">
        <f t="shared" si="0"/>
        <v>960000</v>
      </c>
      <c r="F18" s="170">
        <f t="shared" si="1"/>
        <v>2066896</v>
      </c>
      <c r="G18" s="170">
        <f t="shared" si="2"/>
        <v>13104</v>
      </c>
      <c r="O18" s="96"/>
      <c r="P18" s="96"/>
      <c r="S18" s="96"/>
      <c r="T18" s="96"/>
      <c r="U18" s="96"/>
      <c r="V18" s="96"/>
      <c r="W18" s="96"/>
      <c r="X18" s="96"/>
      <c r="Y18" s="96"/>
    </row>
    <row r="19" spans="1:26">
      <c r="A19" s="99">
        <v>18</v>
      </c>
      <c r="B19" s="99"/>
      <c r="C19" s="170">
        <v>106</v>
      </c>
      <c r="D19" s="99">
        <v>-20000</v>
      </c>
      <c r="E19" s="99">
        <f t="shared" si="0"/>
        <v>940000</v>
      </c>
      <c r="F19" s="170">
        <f t="shared" si="1"/>
        <v>2106644</v>
      </c>
      <c r="G19" s="170">
        <f t="shared" si="2"/>
        <v>13356</v>
      </c>
      <c r="O19" s="96"/>
      <c r="P19" s="96"/>
      <c r="S19" s="96"/>
      <c r="T19" s="96"/>
      <c r="U19" s="96"/>
      <c r="V19" s="96"/>
      <c r="W19" s="96"/>
      <c r="X19" s="96"/>
      <c r="Y19" s="96"/>
    </row>
    <row r="20" spans="1:26">
      <c r="A20" s="99">
        <v>19</v>
      </c>
      <c r="B20" s="99"/>
      <c r="C20" s="170">
        <v>108</v>
      </c>
      <c r="D20" s="99">
        <v>-20000</v>
      </c>
      <c r="E20" s="99">
        <f t="shared" si="0"/>
        <v>920000</v>
      </c>
      <c r="F20" s="170">
        <f t="shared" si="1"/>
        <v>2146392</v>
      </c>
      <c r="G20" s="170">
        <f t="shared" si="2"/>
        <v>13608</v>
      </c>
      <c r="O20" s="96"/>
      <c r="P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99">
        <v>20</v>
      </c>
      <c r="B21" s="99"/>
      <c r="C21" s="170">
        <v>106</v>
      </c>
      <c r="D21" s="99">
        <v>20000</v>
      </c>
      <c r="E21" s="99">
        <f t="shared" si="0"/>
        <v>940000</v>
      </c>
      <c r="F21" s="170">
        <f t="shared" si="1"/>
        <v>-2109612</v>
      </c>
      <c r="G21" s="170">
        <f t="shared" si="2"/>
        <v>10388</v>
      </c>
      <c r="O21" s="96"/>
      <c r="P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99">
        <v>21</v>
      </c>
      <c r="B22" s="99"/>
      <c r="C22" s="170">
        <v>104</v>
      </c>
      <c r="D22" s="99">
        <v>20000</v>
      </c>
      <c r="E22" s="99">
        <f t="shared" si="0"/>
        <v>960000</v>
      </c>
      <c r="F22" s="170">
        <f t="shared" si="1"/>
        <v>-2069808</v>
      </c>
      <c r="G22" s="170">
        <f t="shared" si="2"/>
        <v>10192</v>
      </c>
      <c r="O22" s="96"/>
      <c r="P22" s="96"/>
      <c r="S22" s="96"/>
      <c r="T22" s="96"/>
      <c r="U22" s="96"/>
      <c r="V22" s="96"/>
      <c r="W22" s="96"/>
      <c r="X22" s="96"/>
      <c r="Y22" s="96"/>
    </row>
    <row r="23" spans="1:26">
      <c r="A23" s="99">
        <v>22</v>
      </c>
      <c r="B23" s="99"/>
      <c r="C23" s="170">
        <v>102</v>
      </c>
      <c r="D23" s="99">
        <v>20000</v>
      </c>
      <c r="E23" s="99">
        <f t="shared" si="0"/>
        <v>980000</v>
      </c>
      <c r="F23" s="170">
        <f t="shared" si="1"/>
        <v>-2030004</v>
      </c>
      <c r="G23" s="170">
        <f t="shared" si="2"/>
        <v>9996</v>
      </c>
      <c r="O23" s="96"/>
      <c r="P23" s="96"/>
      <c r="S23" s="96"/>
      <c r="T23" s="96"/>
      <c r="U23" s="96"/>
      <c r="V23" s="96"/>
      <c r="W23" s="96"/>
      <c r="X23" s="96"/>
      <c r="Y23" s="96"/>
    </row>
    <row r="24" spans="1:26">
      <c r="A24" s="99">
        <v>23</v>
      </c>
      <c r="B24" s="99"/>
      <c r="C24" s="170">
        <v>100</v>
      </c>
      <c r="D24" s="99">
        <v>20000</v>
      </c>
      <c r="E24" s="99">
        <f t="shared" si="0"/>
        <v>1000000</v>
      </c>
      <c r="F24" s="170">
        <f t="shared" si="1"/>
        <v>-1990200</v>
      </c>
      <c r="G24" s="170">
        <f t="shared" si="2"/>
        <v>9800</v>
      </c>
      <c r="O24" s="96"/>
      <c r="P24" s="96"/>
      <c r="S24" s="96"/>
      <c r="T24" s="96"/>
      <c r="U24" s="96"/>
      <c r="V24" s="96"/>
      <c r="W24" s="96"/>
      <c r="X24" s="96"/>
      <c r="Y24" s="96"/>
    </row>
    <row r="25" spans="1:26">
      <c r="A25" s="99">
        <v>24</v>
      </c>
      <c r="B25" s="99"/>
      <c r="C25" s="99"/>
      <c r="D25" s="99"/>
      <c r="E25" s="99"/>
      <c r="F25" s="170"/>
      <c r="G25" s="99"/>
      <c r="O25" s="96"/>
      <c r="P25" s="96"/>
      <c r="S25" s="96"/>
      <c r="T25" s="96"/>
      <c r="U25" s="96"/>
      <c r="V25" s="96"/>
      <c r="W25" s="96"/>
      <c r="X25" s="96"/>
      <c r="Y25" s="96"/>
    </row>
    <row r="26" spans="1:26">
      <c r="A26" s="99">
        <v>25</v>
      </c>
      <c r="B26" s="99"/>
      <c r="C26" s="99"/>
      <c r="D26" s="99"/>
      <c r="E26" s="99"/>
      <c r="F26" s="170">
        <f>SUM(F2:F24)</f>
        <v>406260</v>
      </c>
      <c r="G26" s="170">
        <f>SUM(G2:G25)</f>
        <v>250516</v>
      </c>
      <c r="O26" s="96"/>
      <c r="P26" s="96"/>
      <c r="S26" s="96"/>
      <c r="T26" s="96"/>
      <c r="U26" s="96"/>
      <c r="V26" s="96"/>
      <c r="W26" s="96"/>
      <c r="X26" s="96"/>
      <c r="Y26" s="96"/>
    </row>
    <row r="27" spans="1:26">
      <c r="A27" s="99">
        <v>26</v>
      </c>
      <c r="B27" s="99"/>
      <c r="C27" s="99"/>
      <c r="D27" s="99"/>
      <c r="E27" s="99"/>
      <c r="F27" s="99" t="s">
        <v>4288</v>
      </c>
      <c r="G27" s="99" t="s">
        <v>4289</v>
      </c>
      <c r="O27" s="96"/>
      <c r="P27" s="96"/>
      <c r="S27" s="96"/>
      <c r="T27" s="96"/>
      <c r="U27" s="96"/>
      <c r="V27" s="96"/>
      <c r="W27" s="96"/>
      <c r="X27" s="96"/>
      <c r="Y27" s="96"/>
    </row>
    <row r="28" spans="1:26">
      <c r="A28" s="96"/>
      <c r="C28" s="96"/>
      <c r="D28" s="96"/>
      <c r="E28" s="96"/>
      <c r="F28" s="96"/>
      <c r="G28" s="96"/>
      <c r="O28" s="96"/>
      <c r="P28" s="96"/>
      <c r="S28" s="96"/>
      <c r="T28" s="96"/>
      <c r="U28" s="96"/>
      <c r="V28" s="96"/>
      <c r="W28" s="96"/>
      <c r="X28" s="96"/>
      <c r="Y28" s="96"/>
    </row>
    <row r="29" spans="1:26">
      <c r="A29" s="96"/>
      <c r="C29" s="96"/>
      <c r="D29" s="96"/>
      <c r="E29" s="96"/>
      <c r="F29" s="96"/>
      <c r="G29" s="96"/>
      <c r="O29" s="96"/>
      <c r="P29" s="96"/>
      <c r="S29" s="96"/>
      <c r="T29" s="96"/>
      <c r="U29" s="96"/>
      <c r="V29" s="96"/>
      <c r="W29" s="96"/>
      <c r="X29" s="96"/>
      <c r="Y29" s="96"/>
    </row>
    <row r="30" spans="1:26">
      <c r="A30" s="96"/>
      <c r="C30" s="96"/>
      <c r="D30" s="96"/>
      <c r="E30" s="96"/>
      <c r="F30" s="96"/>
      <c r="G30" s="96"/>
      <c r="O30" s="96"/>
      <c r="P30" s="96"/>
      <c r="S30" s="96"/>
      <c r="T30" s="96"/>
      <c r="U30" s="96"/>
      <c r="V30" s="96"/>
      <c r="W30" s="96"/>
      <c r="X30" s="96"/>
      <c r="Y30" s="96"/>
    </row>
    <row r="31" spans="1:26">
      <c r="A31" s="96"/>
      <c r="C31" s="96"/>
      <c r="D31" s="96"/>
      <c r="E31" s="96"/>
      <c r="F31" s="96"/>
      <c r="G31" s="96"/>
      <c r="O31" s="96"/>
      <c r="P31" s="96"/>
      <c r="S31" s="96"/>
      <c r="T31" s="96"/>
      <c r="U31" s="96"/>
      <c r="V31" s="96"/>
      <c r="W31" s="96"/>
      <c r="X31" s="96"/>
      <c r="Y31" s="96"/>
    </row>
    <row r="32" spans="1:26">
      <c r="A32" s="96"/>
      <c r="C32" s="96"/>
      <c r="D32" s="96"/>
      <c r="E32" s="96"/>
      <c r="F32" s="96"/>
      <c r="G32" s="96"/>
      <c r="O32" s="96"/>
      <c r="P32" s="96"/>
      <c r="S32" s="96"/>
      <c r="T32" s="96"/>
      <c r="U32" s="96"/>
      <c r="V32" s="96"/>
      <c r="W32" s="96"/>
      <c r="X32" s="96"/>
      <c r="Y32" s="96"/>
    </row>
    <row r="33" spans="1:25">
      <c r="A33" s="96"/>
      <c r="C33" s="96"/>
      <c r="D33" s="96"/>
      <c r="E33" s="96"/>
      <c r="F33" s="96"/>
      <c r="G33" s="96"/>
      <c r="O33" s="96"/>
      <c r="P33" s="96"/>
      <c r="S33" s="96" t="s">
        <v>25</v>
      </c>
      <c r="T33" s="96"/>
      <c r="U33" s="96"/>
      <c r="V33" s="96"/>
      <c r="W33" s="96"/>
      <c r="X33" s="96"/>
      <c r="Y33" s="96"/>
    </row>
    <row r="34" spans="1:25">
      <c r="A34" s="96"/>
      <c r="C34" s="96"/>
      <c r="D34" s="96"/>
      <c r="E34" s="96"/>
      <c r="F34" s="96"/>
      <c r="G34" s="96"/>
    </row>
    <row r="35" spans="1:25">
      <c r="A35" s="96"/>
      <c r="C35" s="96"/>
      <c r="D35" s="96"/>
      <c r="E35" s="96"/>
      <c r="F35" s="96"/>
      <c r="G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workbookViewId="0">
      <selection activeCell="F29" sqref="F29"/>
    </sheetView>
  </sheetViews>
  <sheetFormatPr defaultRowHeight="15"/>
  <cols>
    <col min="1" max="1" width="22.140625" bestFit="1" customWidth="1"/>
    <col min="2" max="2" width="20.28515625" bestFit="1" customWidth="1"/>
    <col min="3" max="3" width="14.140625" bestFit="1" customWidth="1"/>
    <col min="4" max="4" width="12" bestFit="1" customWidth="1"/>
    <col min="7" max="7" width="19.85546875" bestFit="1" customWidth="1"/>
    <col min="9" max="9" width="19.85546875" bestFit="1" customWidth="1"/>
    <col min="10" max="10" width="8" bestFit="1" customWidth="1"/>
    <col min="11" max="11" width="9.7109375" bestFit="1" customWidth="1"/>
    <col min="12" max="13" width="14.140625" bestFit="1" customWidth="1"/>
    <col min="14" max="14" width="15.140625" bestFit="1" customWidth="1"/>
    <col min="15" max="15" width="8" bestFit="1" customWidth="1"/>
  </cols>
  <sheetData>
    <row r="1" spans="1:15">
      <c r="A1" s="99"/>
      <c r="B1" s="208" t="s">
        <v>4451</v>
      </c>
      <c r="C1" s="169" t="s">
        <v>4310</v>
      </c>
      <c r="D1" s="169" t="s">
        <v>180</v>
      </c>
      <c r="J1" s="169" t="s">
        <v>3643</v>
      </c>
      <c r="K1" s="169" t="s">
        <v>180</v>
      </c>
      <c r="L1" s="169" t="s">
        <v>4510</v>
      </c>
      <c r="M1" s="169" t="s">
        <v>937</v>
      </c>
      <c r="N1" s="56" t="s">
        <v>940</v>
      </c>
      <c r="O1" s="99" t="s">
        <v>8</v>
      </c>
    </row>
    <row r="2" spans="1:15" ht="30">
      <c r="A2" s="99" t="s">
        <v>4247</v>
      </c>
      <c r="B2" s="209">
        <v>1616</v>
      </c>
      <c r="C2" s="211" t="s">
        <v>4621</v>
      </c>
      <c r="D2" s="99" t="s">
        <v>4532</v>
      </c>
      <c r="J2" s="169">
        <v>1</v>
      </c>
      <c r="K2" s="169" t="s">
        <v>4296</v>
      </c>
      <c r="L2" s="113">
        <v>4270000</v>
      </c>
      <c r="M2" s="169">
        <v>10</v>
      </c>
      <c r="N2" s="113">
        <f>L2*M2</f>
        <v>42700000</v>
      </c>
      <c r="O2" s="99" t="s">
        <v>751</v>
      </c>
    </row>
    <row r="3" spans="1:15">
      <c r="A3" s="99" t="s">
        <v>1086</v>
      </c>
      <c r="B3" s="209">
        <v>3721000</v>
      </c>
      <c r="C3" s="170">
        <v>3921000</v>
      </c>
      <c r="D3" s="99" t="s">
        <v>4532</v>
      </c>
      <c r="J3" s="169">
        <v>2</v>
      </c>
      <c r="K3" s="169" t="s">
        <v>4528</v>
      </c>
      <c r="L3" s="113">
        <v>3845000</v>
      </c>
      <c r="M3" s="169">
        <v>4</v>
      </c>
      <c r="N3" s="113">
        <f>L3*M3</f>
        <v>15380000</v>
      </c>
      <c r="O3" s="99" t="s">
        <v>452</v>
      </c>
    </row>
    <row r="4" spans="1:15">
      <c r="A4" s="99"/>
      <c r="B4" s="209"/>
      <c r="C4" s="170"/>
      <c r="D4" s="99"/>
      <c r="J4" s="169">
        <v>3</v>
      </c>
      <c r="K4" s="169" t="s">
        <v>4234</v>
      </c>
      <c r="L4" s="113">
        <v>3390000</v>
      </c>
      <c r="M4" s="169">
        <v>2</v>
      </c>
      <c r="N4" s="113">
        <f>L4*M4</f>
        <v>6780000</v>
      </c>
      <c r="O4" s="99" t="s">
        <v>751</v>
      </c>
    </row>
    <row r="5" spans="1:15">
      <c r="A5" s="99"/>
      <c r="B5" s="209"/>
      <c r="C5" s="170"/>
      <c r="D5" s="99"/>
      <c r="J5" s="169"/>
      <c r="K5" s="169"/>
      <c r="L5" s="113"/>
      <c r="M5" s="169"/>
      <c r="N5" s="113"/>
      <c r="O5" s="99"/>
    </row>
    <row r="6" spans="1:15">
      <c r="A6" s="99"/>
      <c r="B6" s="209"/>
      <c r="C6" s="170"/>
      <c r="D6" s="99"/>
      <c r="J6" s="169"/>
      <c r="K6" s="169"/>
      <c r="L6" s="169"/>
      <c r="M6" s="169">
        <f>SUM(M2:M5)</f>
        <v>16</v>
      </c>
      <c r="N6" s="113">
        <f>SUM(N2:N5)</f>
        <v>64860000</v>
      </c>
      <c r="O6" s="99"/>
    </row>
    <row r="7" spans="1:15">
      <c r="A7" s="99"/>
      <c r="B7" s="209"/>
      <c r="C7" s="170"/>
      <c r="D7" s="99"/>
      <c r="J7" s="169"/>
      <c r="K7" s="169"/>
      <c r="L7" s="169"/>
      <c r="M7" s="169" t="s">
        <v>6</v>
      </c>
      <c r="N7" s="169"/>
      <c r="O7" s="99"/>
    </row>
    <row r="8" spans="1:15">
      <c r="A8" s="99"/>
      <c r="B8" s="209"/>
      <c r="C8" s="170"/>
      <c r="D8" s="99"/>
      <c r="M8" s="113">
        <f>N6/M6</f>
        <v>4053750</v>
      </c>
    </row>
    <row r="9" spans="1:15">
      <c r="A9" s="99"/>
      <c r="B9" s="209"/>
      <c r="C9" s="170"/>
      <c r="D9" s="99"/>
      <c r="M9" s="41" t="s">
        <v>4581</v>
      </c>
      <c r="N9" t="s">
        <v>25</v>
      </c>
    </row>
    <row r="10" spans="1:15">
      <c r="A10" s="99"/>
    </row>
    <row r="11" spans="1:15">
      <c r="A11" s="99"/>
      <c r="B11" s="209">
        <v>3965000</v>
      </c>
      <c r="C11" s="170"/>
      <c r="D11" s="99" t="s">
        <v>4517</v>
      </c>
    </row>
    <row r="12" spans="1:15">
      <c r="A12" s="99"/>
      <c r="B12" s="209">
        <v>3880000</v>
      </c>
      <c r="C12" s="170"/>
      <c r="D12" s="99" t="s">
        <v>4526</v>
      </c>
      <c r="L12">
        <f>140-M6-3</f>
        <v>121</v>
      </c>
      <c r="M12">
        <f>75-3-M2-M4</f>
        <v>60</v>
      </c>
    </row>
    <row r="13" spans="1:15">
      <c r="A13" s="99" t="s">
        <v>4533</v>
      </c>
      <c r="B13" s="210"/>
      <c r="C13" s="170">
        <v>3894000</v>
      </c>
      <c r="D13" s="99" t="s">
        <v>4528</v>
      </c>
      <c r="M13">
        <f>65-M3</f>
        <v>61</v>
      </c>
    </row>
    <row r="14" spans="1:15">
      <c r="A14" s="99"/>
      <c r="B14" s="209"/>
      <c r="C14" s="170">
        <v>3845000</v>
      </c>
      <c r="D14" s="99" t="s">
        <v>4528</v>
      </c>
    </row>
    <row r="15" spans="1:15">
      <c r="A15" s="99"/>
      <c r="B15" s="209"/>
      <c r="C15" s="170">
        <v>3845000</v>
      </c>
      <c r="D15" s="99" t="s">
        <v>4528</v>
      </c>
    </row>
    <row r="16" spans="1:15">
      <c r="A16" s="99"/>
      <c r="B16" s="209"/>
      <c r="C16" s="170">
        <v>3845000</v>
      </c>
      <c r="D16" s="99" t="s">
        <v>4528</v>
      </c>
    </row>
    <row r="17" spans="1:18">
      <c r="A17" s="99" t="s">
        <v>4537</v>
      </c>
      <c r="B17" s="209">
        <v>3990000</v>
      </c>
      <c r="C17" s="170"/>
      <c r="D17" s="99" t="s">
        <v>4532</v>
      </c>
      <c r="G17" s="169" t="s">
        <v>4580</v>
      </c>
      <c r="H17" s="169" t="s">
        <v>4306</v>
      </c>
      <c r="I17" s="169" t="s">
        <v>4247</v>
      </c>
      <c r="J17" s="169" t="s">
        <v>4617</v>
      </c>
      <c r="K17" s="169"/>
      <c r="L17" s="41"/>
      <c r="M17" s="41"/>
      <c r="N17" s="169" t="s">
        <v>4597</v>
      </c>
      <c r="O17" s="169" t="s">
        <v>1086</v>
      </c>
      <c r="P17" s="169" t="s">
        <v>4247</v>
      </c>
      <c r="Q17" s="169" t="s">
        <v>4617</v>
      </c>
      <c r="R17" s="169"/>
    </row>
    <row r="18" spans="1:18">
      <c r="A18" s="99"/>
      <c r="B18" s="209">
        <v>3915000</v>
      </c>
      <c r="C18" s="170"/>
      <c r="D18" s="99" t="s">
        <v>4534</v>
      </c>
      <c r="G18" s="169" t="s">
        <v>4593</v>
      </c>
      <c r="H18" s="169">
        <v>281</v>
      </c>
      <c r="I18" s="169">
        <v>165.5</v>
      </c>
      <c r="J18" s="169">
        <f>H18/I18</f>
        <v>1.6978851963746224</v>
      </c>
      <c r="K18" s="169"/>
      <c r="L18" s="41"/>
      <c r="M18" s="41"/>
      <c r="N18" s="169" t="s">
        <v>4579</v>
      </c>
      <c r="O18" s="169">
        <v>3390000</v>
      </c>
      <c r="P18" s="169">
        <v>161.4</v>
      </c>
      <c r="Q18" s="169">
        <f>O18/P18</f>
        <v>21003.717472118959</v>
      </c>
      <c r="R18" s="169"/>
    </row>
    <row r="19" spans="1:18">
      <c r="A19" s="99"/>
      <c r="B19" s="209">
        <v>3821000</v>
      </c>
      <c r="C19" s="170"/>
      <c r="D19" s="99" t="s">
        <v>4540</v>
      </c>
      <c r="G19" s="169" t="s">
        <v>4592</v>
      </c>
      <c r="H19" s="169">
        <v>289.3</v>
      </c>
      <c r="I19" s="169">
        <v>166.2</v>
      </c>
      <c r="J19" s="169">
        <f>H19/I19</f>
        <v>1.7406738868832734</v>
      </c>
      <c r="K19" s="169">
        <f>J19/J18</f>
        <v>1.0252011682533158</v>
      </c>
      <c r="L19" s="41"/>
      <c r="M19" s="41"/>
      <c r="N19" s="169"/>
      <c r="O19" s="169"/>
      <c r="P19" s="169"/>
      <c r="Q19" s="169"/>
      <c r="R19" s="169"/>
    </row>
    <row r="20" spans="1:18">
      <c r="A20" s="99"/>
      <c r="B20" s="209">
        <v>3610000</v>
      </c>
      <c r="C20" s="170"/>
      <c r="D20" s="99" t="s">
        <v>4559</v>
      </c>
      <c r="G20" s="169" t="s">
        <v>4594</v>
      </c>
      <c r="H20" s="169">
        <v>281</v>
      </c>
      <c r="I20" s="169">
        <v>160.19999999999999</v>
      </c>
      <c r="J20" s="169">
        <f>H20/I20</f>
        <v>1.7540574282147317</v>
      </c>
      <c r="K20" s="169"/>
      <c r="L20" s="41"/>
      <c r="M20" s="41"/>
      <c r="N20" s="169"/>
      <c r="O20" s="169"/>
      <c r="P20" s="169"/>
      <c r="Q20" s="169"/>
      <c r="R20" s="169"/>
    </row>
    <row r="21" spans="1:18">
      <c r="A21" s="99" t="s">
        <v>4596</v>
      </c>
      <c r="B21" s="209"/>
      <c r="C21" s="170">
        <v>3421299</v>
      </c>
      <c r="D21" s="99" t="s">
        <v>4234</v>
      </c>
      <c r="G21" s="169"/>
      <c r="H21" s="169"/>
      <c r="I21" s="169"/>
      <c r="J21" s="169"/>
      <c r="K21" s="169"/>
      <c r="L21" s="41"/>
      <c r="M21" s="41"/>
      <c r="N21" s="169"/>
      <c r="O21" s="169"/>
      <c r="P21" s="169"/>
      <c r="Q21" s="169"/>
      <c r="R21" s="169"/>
    </row>
    <row r="22" spans="1:18">
      <c r="A22" s="99"/>
      <c r="B22" s="209"/>
      <c r="C22" s="170">
        <v>3390000</v>
      </c>
      <c r="D22" s="99" t="s">
        <v>4234</v>
      </c>
      <c r="G22" s="169"/>
      <c r="H22" s="169"/>
      <c r="I22" s="169"/>
      <c r="J22" s="169"/>
      <c r="K22" s="169"/>
      <c r="L22" s="41"/>
      <c r="M22" s="41"/>
      <c r="N22" s="169"/>
      <c r="O22" s="169"/>
      <c r="P22" s="169"/>
      <c r="Q22" s="169"/>
      <c r="R22" s="169"/>
    </row>
    <row r="23" spans="1:18">
      <c r="A23" s="99"/>
      <c r="B23" s="209"/>
      <c r="C23" s="170"/>
      <c r="D23" s="99"/>
      <c r="G23" s="169"/>
      <c r="H23" s="169"/>
      <c r="I23" s="169"/>
      <c r="J23" s="169"/>
      <c r="K23" s="169"/>
      <c r="L23" s="41"/>
      <c r="M23" s="41"/>
      <c r="N23" s="169"/>
      <c r="O23" s="169"/>
      <c r="P23" s="169"/>
      <c r="Q23" s="169"/>
      <c r="R23" s="169"/>
    </row>
    <row r="24" spans="1:18">
      <c r="A24" s="99"/>
      <c r="B24" s="170"/>
      <c r="C24" s="170"/>
      <c r="D24" s="99"/>
      <c r="G24" s="169"/>
      <c r="H24" s="169"/>
      <c r="I24" s="169"/>
      <c r="J24" s="169" t="s">
        <v>25</v>
      </c>
      <c r="K24" s="169"/>
      <c r="L24" s="41"/>
      <c r="M24" s="41"/>
      <c r="N24" s="169"/>
      <c r="O24" s="169"/>
      <c r="P24" s="169"/>
      <c r="Q24" s="169"/>
      <c r="R24" s="169"/>
    </row>
    <row r="25" spans="1:18">
      <c r="B25" s="58"/>
      <c r="C25" s="58"/>
      <c r="D25" s="115"/>
      <c r="G25" s="169"/>
      <c r="H25" s="169"/>
      <c r="I25" s="169"/>
      <c r="J25" s="169"/>
      <c r="K25" s="169"/>
      <c r="L25" s="41"/>
      <c r="M25" s="41"/>
      <c r="N25" s="169"/>
      <c r="O25" s="169"/>
      <c r="P25" s="169"/>
      <c r="Q25" s="169"/>
      <c r="R25" s="169"/>
    </row>
    <row r="26" spans="1:18">
      <c r="B26" t="s">
        <v>25</v>
      </c>
    </row>
    <row r="27" spans="1:18">
      <c r="B27" s="114">
        <f>SUM(C11:C24)-SUM(B11:B24)</f>
        <v>-940701</v>
      </c>
      <c r="C27" t="s">
        <v>916</v>
      </c>
    </row>
    <row r="38" spans="9:13">
      <c r="I38" s="41"/>
      <c r="J38" s="41"/>
      <c r="K38" s="41"/>
      <c r="L38" s="41"/>
      <c r="M38" s="41"/>
    </row>
    <row r="41" spans="9:13">
      <c r="L41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AgentBased</vt:lpstr>
      <vt:lpstr>دی 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خرید و فروش سکه فیزیکی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آبان97</vt:lpstr>
      <vt:lpstr>آذر 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2018-12-23T10:06:44Z</dcterms:modified>
</cp:coreProperties>
</file>