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Q84" i="18" l="1"/>
  <c r="Q33" i="18"/>
  <c r="Q44" i="18"/>
  <c r="V81" i="18"/>
  <c r="W81" i="18" s="1"/>
  <c r="S81" i="18"/>
  <c r="V80" i="18"/>
  <c r="W80" i="18" s="1"/>
  <c r="S80" i="18"/>
  <c r="AM98" i="18"/>
  <c r="AM99" i="18"/>
  <c r="AJ102" i="18"/>
  <c r="X81" i="18" l="1"/>
  <c r="X80" i="18"/>
  <c r="M115" i="18"/>
  <c r="Y99" i="18"/>
  <c r="W116" i="18"/>
  <c r="U118" i="18"/>
  <c r="P30" i="18"/>
  <c r="N30" i="18" s="1"/>
  <c r="P26" i="18"/>
  <c r="N26" i="18" s="1"/>
  <c r="N51" i="18" l="1"/>
  <c r="AS38" i="18"/>
  <c r="N52" i="18" l="1"/>
  <c r="B27" i="51" l="1"/>
  <c r="C267" i="20"/>
  <c r="B267" i="20"/>
  <c r="L36" i="18" l="1"/>
  <c r="W110" i="18" l="1"/>
  <c r="W111" i="18"/>
  <c r="W112" i="18"/>
  <c r="W113" i="18"/>
  <c r="W114" i="18"/>
  <c r="W115" i="18"/>
  <c r="W117" i="18"/>
  <c r="W109" i="18"/>
  <c r="N53" i="18" l="1"/>
  <c r="R149" i="18" l="1"/>
  <c r="R158" i="18"/>
  <c r="R140" i="18"/>
  <c r="R132" i="18"/>
  <c r="T134" i="18" l="1"/>
  <c r="T92" i="18"/>
  <c r="S38" i="18"/>
  <c r="S39" i="18" s="1"/>
  <c r="R114" i="18"/>
  <c r="R113" i="18"/>
  <c r="R112" i="18"/>
  <c r="AJ144" i="18"/>
  <c r="N25" i="18"/>
  <c r="D49" i="51"/>
  <c r="L22" i="18" s="1"/>
  <c r="S40" i="18" l="1"/>
  <c r="S41" i="18" s="1"/>
  <c r="S42" i="18" s="1"/>
  <c r="P31" i="18" l="1"/>
  <c r="N31" i="18" s="1"/>
  <c r="P23" i="18"/>
  <c r="N23" i="18" s="1"/>
  <c r="N47" i="18"/>
  <c r="M77" i="18" l="1"/>
  <c r="P29" i="18" l="1"/>
  <c r="N29" i="18" s="1"/>
  <c r="R111" i="18" l="1"/>
  <c r="C2" i="5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N50" i="18" l="1"/>
  <c r="D108" i="50" l="1"/>
  <c r="P24" i="18" l="1"/>
  <c r="N49" i="18"/>
  <c r="C8" i="36" l="1"/>
  <c r="N44" i="18" l="1"/>
  <c r="N22" i="33" l="1"/>
  <c r="R22" i="33" s="1"/>
  <c r="E22" i="33"/>
  <c r="AL101" i="18"/>
  <c r="AL100" i="18" s="1"/>
  <c r="AL97" i="18" l="1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6" i="18" l="1"/>
  <c r="AM97" i="18"/>
  <c r="AL142" i="18"/>
  <c r="AL95" i="18" l="1"/>
  <c r="AM96" i="18"/>
  <c r="AM142" i="18"/>
  <c r="AL141" i="18"/>
  <c r="S22" i="18"/>
  <c r="S23" i="18" s="1"/>
  <c r="S24" i="18" s="1"/>
  <c r="P22" i="18"/>
  <c r="N22" i="18" s="1"/>
  <c r="N48" i="18"/>
  <c r="AL94" i="18" l="1"/>
  <c r="AM95" i="18"/>
  <c r="AL140" i="18"/>
  <c r="AM141" i="18"/>
  <c r="AL93" i="18" l="1"/>
  <c r="AM94" i="18"/>
  <c r="S25" i="18"/>
  <c r="AL139" i="18"/>
  <c r="AM140" i="18"/>
  <c r="AL92" i="18" l="1"/>
  <c r="AM93" i="18"/>
  <c r="S26" i="18"/>
  <c r="S27" i="18" s="1"/>
  <c r="S28" i="18" s="1"/>
  <c r="S29" i="18" s="1"/>
  <c r="S30" i="18" s="1"/>
  <c r="S31" i="18" s="1"/>
  <c r="AL138" i="18"/>
  <c r="AM139" i="18"/>
  <c r="N77" i="18"/>
  <c r="AL91" i="18" l="1"/>
  <c r="AM92" i="18"/>
  <c r="AL137" i="18"/>
  <c r="AM138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90" i="18" l="1"/>
  <c r="AM91" i="18"/>
  <c r="AL136" i="18"/>
  <c r="AM137" i="18"/>
  <c r="D73" i="48"/>
  <c r="N24" i="18"/>
  <c r="AM90" i="18" l="1"/>
  <c r="AL89" i="18"/>
  <c r="AL135" i="18"/>
  <c r="AM136" i="18"/>
  <c r="N38" i="18"/>
  <c r="AL88" i="18" l="1"/>
  <c r="AM89" i="18"/>
  <c r="AL134" i="18"/>
  <c r="AM135" i="18"/>
  <c r="P57" i="18"/>
  <c r="AL87" i="18" l="1"/>
  <c r="AM88" i="18"/>
  <c r="AL133" i="18"/>
  <c r="AM134" i="18"/>
  <c r="AM87" i="18" l="1"/>
  <c r="AL86" i="18"/>
  <c r="AL132" i="18"/>
  <c r="AM133" i="18"/>
  <c r="N23" i="33"/>
  <c r="D23" i="33" s="1"/>
  <c r="AL85" i="18" l="1"/>
  <c r="AM86" i="18"/>
  <c r="AL131" i="18"/>
  <c r="AM13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4" i="18" l="1"/>
  <c r="AM85" i="18"/>
  <c r="AL130" i="18"/>
  <c r="AM131" i="18"/>
  <c r="P21" i="18"/>
  <c r="N21" i="18" s="1"/>
  <c r="B263" i="15"/>
  <c r="AM84" i="18" l="1"/>
  <c r="AL83" i="18"/>
  <c r="R110" i="18"/>
  <c r="AJ148" i="18"/>
  <c r="AJ149" i="18" s="1"/>
  <c r="AM130" i="18"/>
  <c r="AL129" i="18"/>
  <c r="S53" i="18"/>
  <c r="S54" i="18" s="1"/>
  <c r="AM83" i="18" l="1"/>
  <c r="AL82" i="18"/>
  <c r="AL128" i="18"/>
  <c r="AM129" i="18"/>
  <c r="S55" i="18"/>
  <c r="S56" i="18" s="1"/>
  <c r="AL81" i="18" l="1"/>
  <c r="AM82" i="18"/>
  <c r="AM128" i="18"/>
  <c r="AL127" i="18"/>
  <c r="P46" i="18"/>
  <c r="AL80" i="18" l="1"/>
  <c r="AM80" i="18" s="1"/>
  <c r="AM81" i="18"/>
  <c r="AM127" i="18"/>
  <c r="AL126" i="18"/>
  <c r="AL125" i="18" l="1"/>
  <c r="AM126" i="18"/>
  <c r="AL124" i="18" l="1"/>
  <c r="AM125" i="18"/>
  <c r="B8" i="36"/>
  <c r="AL123" i="18" l="1"/>
  <c r="AM124" i="18"/>
  <c r="B10" i="36"/>
  <c r="AL122" i="18" l="1"/>
  <c r="AM123" i="18"/>
  <c r="S57" i="18"/>
  <c r="S58" i="18" s="1"/>
  <c r="S59" i="18" s="1"/>
  <c r="S60" i="18" s="1"/>
  <c r="S61" i="18" s="1"/>
  <c r="S62" i="18" s="1"/>
  <c r="S63" i="18" s="1"/>
  <c r="S64" i="18" s="1"/>
  <c r="S65" i="18" s="1"/>
  <c r="S66" i="18" s="1"/>
  <c r="AL121" i="18" l="1"/>
  <c r="AM122" i="18"/>
  <c r="N25" i="33"/>
  <c r="N24" i="33"/>
  <c r="N21" i="33"/>
  <c r="N20" i="33"/>
  <c r="N19" i="33"/>
  <c r="N18" i="33"/>
  <c r="L18" i="33" s="1"/>
  <c r="N17" i="33"/>
  <c r="N9" i="33"/>
  <c r="N3" i="33"/>
  <c r="N4" i="33"/>
  <c r="S67" i="18" l="1"/>
  <c r="AL120" i="18"/>
  <c r="AM121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8" i="18" l="1"/>
  <c r="S69" i="18" s="1"/>
  <c r="S70" i="18" s="1"/>
  <c r="S71" i="18" s="1"/>
  <c r="S72" i="18" s="1"/>
  <c r="S73" i="18" s="1"/>
  <c r="AL119" i="18"/>
  <c r="AM119" i="18" s="1"/>
  <c r="AM120" i="18"/>
  <c r="AC15" i="33"/>
  <c r="S74" i="18" l="1"/>
  <c r="S75" i="18" s="1"/>
  <c r="S76" i="18" s="1"/>
  <c r="S77" i="18" s="1"/>
  <c r="S78" i="18" s="1"/>
  <c r="S79" i="18" s="1"/>
  <c r="AM144" i="18"/>
  <c r="N16" i="33"/>
  <c r="AN144" i="18" l="1"/>
  <c r="AJ14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50" i="18" l="1"/>
  <c r="AJ151" i="18" s="1"/>
  <c r="K261" i="20"/>
  <c r="K262" i="20"/>
  <c r="K263" i="20"/>
  <c r="K264" i="20"/>
  <c r="K265" i="20"/>
  <c r="K266" i="20"/>
  <c r="J261" i="20"/>
  <c r="J262" i="20"/>
  <c r="J263" i="20"/>
  <c r="J264" i="20"/>
  <c r="J265" i="20"/>
  <c r="J266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J260" i="20" s="1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67" i="20" s="1"/>
  <c r="D259" i="20"/>
  <c r="D260" i="20"/>
  <c r="K260" i="20" s="1"/>
  <c r="D261" i="20"/>
  <c r="D262" i="20"/>
  <c r="D263" i="20"/>
  <c r="D264" i="20"/>
  <c r="D265" i="20"/>
  <c r="D266" i="20"/>
  <c r="I260" i="20" l="1"/>
  <c r="J259" i="20"/>
  <c r="K259" i="20"/>
  <c r="I259" i="20"/>
  <c r="J258" i="20"/>
  <c r="I258" i="20"/>
  <c r="K258" i="20"/>
  <c r="K256" i="20"/>
  <c r="K257" i="20"/>
  <c r="J257" i="20"/>
  <c r="I256" i="20"/>
  <c r="J256" i="20"/>
  <c r="I257" i="20"/>
  <c r="J255" i="20"/>
  <c r="K255" i="20"/>
  <c r="I255" i="20"/>
  <c r="J254" i="20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N46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7" i="18"/>
  <c r="AL76" i="18" l="1"/>
  <c r="AM77" i="18"/>
  <c r="AL75" i="18" l="1"/>
  <c r="AM76" i="18"/>
  <c r="N45" i="18"/>
  <c r="R109" i="18" l="1"/>
  <c r="R118" i="18" s="1"/>
  <c r="T121" i="18" s="1"/>
  <c r="AJ108" i="18"/>
  <c r="AJ109" i="18" s="1"/>
  <c r="AL74" i="18"/>
  <c r="AM75" i="18"/>
  <c r="U134" i="18" l="1"/>
  <c r="AL73" i="18"/>
  <c r="AM74" i="18"/>
  <c r="N83" i="18"/>
  <c r="V43" i="18" l="1"/>
  <c r="V41" i="18"/>
  <c r="V42" i="18"/>
  <c r="V31" i="18"/>
  <c r="W31" i="18" s="1"/>
  <c r="V79" i="18"/>
  <c r="V77" i="18"/>
  <c r="W77" i="18" s="1"/>
  <c r="V78" i="18"/>
  <c r="S97" i="18"/>
  <c r="V75" i="18"/>
  <c r="W75" i="18" s="1"/>
  <c r="V76" i="18"/>
  <c r="V72" i="18"/>
  <c r="W72" i="18" s="1"/>
  <c r="V74" i="18"/>
  <c r="V73" i="18"/>
  <c r="V134" i="18"/>
  <c r="V71" i="18"/>
  <c r="V70" i="18"/>
  <c r="V40" i="18"/>
  <c r="V39" i="18"/>
  <c r="V67" i="18"/>
  <c r="V69" i="18"/>
  <c r="V68" i="18"/>
  <c r="V30" i="18"/>
  <c r="V29" i="18"/>
  <c r="V66" i="18"/>
  <c r="V28" i="18"/>
  <c r="V26" i="18"/>
  <c r="V27" i="18"/>
  <c r="V25" i="18"/>
  <c r="V65" i="18"/>
  <c r="V64" i="18"/>
  <c r="V63" i="18"/>
  <c r="V62" i="18"/>
  <c r="V24" i="18"/>
  <c r="V61" i="18"/>
  <c r="V59" i="18"/>
  <c r="V60" i="18"/>
  <c r="V57" i="18"/>
  <c r="V58" i="18"/>
  <c r="V56" i="18"/>
  <c r="V21" i="18"/>
  <c r="V23" i="18"/>
  <c r="V52" i="18"/>
  <c r="V20" i="18"/>
  <c r="V22" i="18"/>
  <c r="V53" i="18"/>
  <c r="V54" i="18"/>
  <c r="V55" i="18"/>
  <c r="AL72" i="18"/>
  <c r="AM73" i="18"/>
  <c r="X41" i="18" l="1"/>
  <c r="W41" i="18"/>
  <c r="W42" i="18"/>
  <c r="X42" i="18"/>
  <c r="W43" i="18"/>
  <c r="X43" i="18"/>
  <c r="W79" i="18"/>
  <c r="X79" i="18"/>
  <c r="X31" i="18"/>
  <c r="X77" i="18"/>
  <c r="W78" i="18"/>
  <c r="X78" i="18"/>
  <c r="X75" i="18"/>
  <c r="X76" i="18"/>
  <c r="W76" i="18"/>
  <c r="X72" i="18"/>
  <c r="W73" i="18"/>
  <c r="X73" i="18"/>
  <c r="W74" i="18"/>
  <c r="X74" i="18"/>
  <c r="V124" i="18"/>
  <c r="S96" i="18"/>
  <c r="U96" i="18" s="1"/>
  <c r="V96" i="18" s="1"/>
  <c r="S95" i="18"/>
  <c r="N34" i="18" s="1"/>
  <c r="L21" i="18" s="1"/>
  <c r="N60" i="18"/>
  <c r="S94" i="18"/>
  <c r="W70" i="18"/>
  <c r="X70" i="18"/>
  <c r="X71" i="18"/>
  <c r="W71" i="18"/>
  <c r="X39" i="18"/>
  <c r="W39" i="18"/>
  <c r="W40" i="18"/>
  <c r="X40" i="18"/>
  <c r="W22" i="18"/>
  <c r="X22" i="18"/>
  <c r="W21" i="18"/>
  <c r="X21" i="18"/>
  <c r="W60" i="18"/>
  <c r="X60" i="18"/>
  <c r="W62" i="18"/>
  <c r="X62" i="18"/>
  <c r="W66" i="18"/>
  <c r="X66" i="18"/>
  <c r="W55" i="18"/>
  <c r="X55" i="18"/>
  <c r="W59" i="18"/>
  <c r="X59" i="18"/>
  <c r="W63" i="18"/>
  <c r="X63" i="18"/>
  <c r="W27" i="18"/>
  <c r="X27" i="18"/>
  <c r="W29" i="18"/>
  <c r="X29" i="18"/>
  <c r="W69" i="18"/>
  <c r="X69" i="18"/>
  <c r="W20" i="18"/>
  <c r="X20" i="18"/>
  <c r="W58" i="18"/>
  <c r="X58" i="18"/>
  <c r="W64" i="18"/>
  <c r="X64" i="18"/>
  <c r="W25" i="18"/>
  <c r="X25" i="18"/>
  <c r="W26" i="18"/>
  <c r="X26" i="18"/>
  <c r="X67" i="18"/>
  <c r="W67" i="18"/>
  <c r="W56" i="18"/>
  <c r="X56" i="18"/>
  <c r="W54" i="18"/>
  <c r="X54" i="18"/>
  <c r="W52" i="18"/>
  <c r="X52" i="18"/>
  <c r="W61" i="18"/>
  <c r="X61" i="18"/>
  <c r="W53" i="18"/>
  <c r="X53" i="18"/>
  <c r="W23" i="18"/>
  <c r="X23" i="18"/>
  <c r="W57" i="18"/>
  <c r="X57" i="18"/>
  <c r="X24" i="18"/>
  <c r="W24" i="18"/>
  <c r="W65" i="18"/>
  <c r="X65" i="18"/>
  <c r="W28" i="18"/>
  <c r="X28" i="18"/>
  <c r="X68" i="18"/>
  <c r="W68" i="18"/>
  <c r="W30" i="18"/>
  <c r="X30" i="18"/>
  <c r="AL71" i="18"/>
  <c r="AM72" i="18"/>
  <c r="U95" i="18" l="1"/>
  <c r="V95" i="18" s="1"/>
  <c r="N59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02" i="18" l="1"/>
  <c r="E173" i="13"/>
  <c r="G174" i="13"/>
  <c r="D238" i="15"/>
  <c r="F239" i="15"/>
  <c r="X720" i="41"/>
  <c r="U2123" i="41"/>
  <c r="AN102" i="18" l="1"/>
  <c r="AJ107" i="18" s="1"/>
  <c r="AJ111" i="18" s="1"/>
  <c r="E172" i="13"/>
  <c r="G173" i="13"/>
  <c r="D237" i="15"/>
  <c r="F238" i="15"/>
  <c r="D62" i="38"/>
  <c r="AJ110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3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s="1"/>
  <c r="L64" i="18" l="1"/>
  <c r="F22" i="18"/>
  <c r="E33" i="13"/>
  <c r="G34" i="13"/>
  <c r="I97" i="20"/>
  <c r="K97" i="20"/>
  <c r="J97" i="20"/>
  <c r="F108" i="15"/>
  <c r="C20" i="18"/>
  <c r="G20" i="14"/>
  <c r="G21" i="14"/>
  <c r="L65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94" i="18" l="1"/>
  <c r="V94" i="18" s="1"/>
  <c r="U97" i="18"/>
  <c r="V97" i="18" s="1"/>
</calcChain>
</file>

<file path=xl/sharedStrings.xml><?xml version="1.0" encoding="utf-8"?>
<sst xmlns="http://schemas.openxmlformats.org/spreadsheetml/2006/main" count="9773" uniqueCount="4582">
  <si>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</si>
  <si>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</si>
  <si>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</si>
  <si>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</si>
  <si>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</si>
  <si>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</si>
  <si>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</si>
  <si>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</si>
  <si>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</si>
  <si>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</si>
  <si>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</si>
  <si>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</si>
  <si>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</si>
  <si>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</si>
  <si>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</si>
  <si>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</si>
  <si>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</si>
  <si>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</si>
  <si>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</si>
  <si>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</si>
  <si>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</si>
  <si>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</si>
  <si>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</si>
  <si>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</si>
  <si>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</si>
  <si>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</si>
  <si>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</si>
  <si>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</si>
  <si>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</si>
  <si>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</si>
  <si>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</si>
  <si>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</si>
  <si>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</si>
  <si>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</si>
  <si>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</si>
  <si>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</si>
  <si>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</si>
  <si>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</si>
  <si>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</si>
  <si>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</si>
  <si>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</si>
  <si>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</si>
  <si>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</si>
  <si>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</si>
  <si>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</si>
  <si>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</si>
  <si>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</si>
  <si>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</si>
  <si>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</si>
  <si>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</si>
  <si>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</si>
  <si>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</si>
  <si>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</si>
  <si>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</si>
  <si>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</si>
  <si>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</si>
  <si>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</si>
  <si>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</si>
  <si>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</si>
  <si>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</si>
  <si>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</si>
  <si>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</si>
  <si>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</si>
  <si>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</si>
  <si>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</si>
  <si>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</si>
  <si>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</si>
  <si>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</si>
  <si>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</si>
  <si>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</si>
  <si>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</si>
  <si>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</si>
  <si>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</si>
  <si>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</si>
  <si>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</si>
  <si>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</si>
  <si>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</si>
  <si>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</si>
  <si>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</si>
  <si>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</si>
  <si>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</si>
  <si>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</si>
  <si>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</si>
  <si>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</si>
  <si>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</si>
  <si>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</si>
  <si>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</si>
  <si>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</si>
  <si>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</si>
  <si>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</si>
  <si>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</si>
  <si>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</si>
  <si>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</si>
  <si>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</si>
  <si>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</si>
  <si>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</si>
  <si>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</si>
  <si>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</si>
  <si>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</si>
  <si>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</si>
  <si>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</si>
  <si>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</si>
  <si>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</si>
  <si>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</si>
  <si>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</si>
  <si>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</si>
  <si>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</si>
  <si>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</si>
  <si>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</si>
  <si>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</si>
  <si>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</si>
  <si>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</si>
  <si>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</si>
  <si>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</si>
  <si>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</si>
  <si>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</si>
  <si>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</si>
  <si>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</si>
  <si>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</si>
  <si>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</si>
  <si>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</si>
  <si>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</si>
  <si>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</si>
  <si>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</si>
  <si>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</si>
  <si>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</si>
  <si>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</si>
  <si>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</si>
  <si>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</si>
  <si>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</si>
  <si>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</si>
  <si>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</si>
  <si>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</si>
  <si>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</si>
  <si>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</si>
  <si>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</si>
  <si>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</si>
  <si>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</si>
  <si>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</si>
  <si>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</si>
  <si>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</si>
  <si>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</si>
  <si>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</si>
  <si>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</si>
  <si>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</si>
  <si>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</si>
  <si>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</si>
  <si>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</si>
  <si>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</si>
  <si>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</si>
  <si>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</si>
  <si>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</si>
  <si>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</si>
  <si>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</si>
  <si>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</si>
  <si>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</si>
  <si>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</si>
  <si>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</si>
  <si>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</si>
  <si>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</si>
  <si>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</si>
  <si>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</si>
  <si>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</si>
  <si>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</si>
  <si>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</si>
  <si>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</si>
  <si>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</si>
  <si>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</si>
  <si>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</si>
  <si>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</si>
  <si>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</si>
  <si>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</si>
  <si>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</si>
  <si>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</si>
  <si>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</si>
  <si>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</si>
  <si>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</si>
  <si>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</si>
  <si>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</si>
  <si>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</si>
  <si>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</si>
  <si>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</si>
  <si>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</si>
  <si>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</si>
  <si>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</si>
  <si>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</si>
  <si>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</si>
  <si>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</si>
  <si>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</si>
  <si>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</si>
  <si>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</si>
  <si>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</si>
  <si>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</si>
  <si>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</si>
  <si>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</si>
  <si>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</si>
  <si>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</si>
  <si>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</si>
  <si>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</si>
  <si>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</si>
  <si>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</si>
  <si>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</si>
  <si>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</si>
  <si>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</si>
  <si>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</si>
  <si>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</si>
  <si>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</si>
  <si>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</si>
  <si>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</si>
  <si>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</si>
  <si>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</si>
  <si>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</si>
  <si>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</si>
  <si>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</si>
  <si>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</si>
  <si>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</si>
  <si>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</si>
  <si>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</si>
  <si>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</si>
  <si>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</si>
  <si>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</si>
  <si>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</si>
  <si>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</si>
  <si>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</si>
  <si>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</si>
  <si>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</si>
  <si>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</si>
  <si>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</si>
  <si>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</si>
  <si>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</si>
  <si>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</si>
  <si>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</si>
  <si>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</si>
  <si>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</si>
  <si>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</si>
  <si>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</si>
  <si>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</si>
  <si>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</si>
  <si>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</si>
  <si>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</si>
  <si>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</si>
  <si>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</si>
  <si>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</si>
  <si>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</si>
  <si>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</si>
  <si>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</si>
  <si>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</si>
  <si>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</si>
  <si>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</si>
  <si>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</si>
  <si>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</si>
  <si>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</si>
  <si>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</si>
  <si>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</si>
  <si>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</si>
  <si>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</si>
  <si>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</si>
  <si>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</si>
  <si>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</si>
  <si>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</si>
  <si>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</si>
  <si>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</si>
  <si>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</si>
  <si>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</si>
  <si>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</si>
  <si>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</si>
  <si>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</si>
  <si>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</si>
  <si>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</si>
  <si>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</si>
  <si>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</si>
  <si>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</si>
  <si>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</si>
  <si>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</si>
  <si>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</si>
  <si>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</si>
  <si>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</si>
  <si>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</si>
  <si>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</si>
  <si>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</si>
  <si>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</si>
  <si>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</si>
  <si>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</si>
  <si>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</si>
  <si>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</si>
  <si>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</si>
  <si>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</si>
  <si>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</si>
  <si>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</si>
  <si>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</si>
  <si>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</si>
  <si>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</si>
  <si>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</si>
  <si>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</si>
  <si>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</si>
  <si>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</si>
  <si>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</si>
  <si>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</si>
  <si>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</si>
  <si>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</si>
  <si>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</si>
  <si>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</si>
  <si>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</si>
  <si>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</si>
  <si>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</si>
  <si>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</si>
  <si>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</si>
  <si>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</si>
  <si>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</si>
  <si>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</si>
  <si>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</si>
  <si>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</si>
  <si>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</si>
  <si>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</si>
  <si>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</si>
  <si>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</si>
  <si>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</si>
  <si>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</si>
  <si>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</si>
  <si>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</si>
  <si>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</si>
  <si>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</si>
  <si>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</si>
  <si>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</si>
  <si>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</si>
  <si>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</si>
  <si>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</si>
  <si>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</si>
  <si>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</si>
  <si>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</si>
  <si>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</si>
  <si>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</si>
  <si>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</si>
  <si>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</si>
  <si>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</si>
  <si>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</si>
  <si>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</si>
  <si>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</si>
  <si>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</si>
  <si>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</si>
  <si>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</si>
  <si>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</si>
  <si>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</si>
  <si>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</si>
  <si>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</si>
  <si>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</si>
  <si>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</si>
  <si>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</si>
  <si>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</si>
  <si>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</si>
  <si>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</si>
  <si>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</si>
  <si>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</si>
  <si>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</si>
  <si>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</si>
  <si>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</si>
  <si>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</si>
  <si>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</si>
  <si>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</si>
  <si>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</si>
  <si>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</si>
  <si>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</si>
  <si>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</si>
  <si>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</si>
  <si>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</si>
  <si>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</si>
  <si>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</si>
  <si>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</si>
  <si>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</si>
  <si>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</si>
  <si>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</si>
  <si>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</si>
  <si>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</si>
  <si>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</si>
  <si>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</si>
  <si>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</si>
  <si>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</si>
  <si>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</si>
  <si>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</si>
  <si>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</si>
  <si>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</si>
  <si>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</si>
  <si>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</si>
  <si>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</si>
  <si>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</si>
  <si>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</si>
  <si>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</si>
  <si>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</si>
  <si>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</si>
  <si>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</si>
  <si>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</si>
  <si>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</si>
  <si>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</si>
  <si>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</si>
  <si>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</si>
  <si>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</si>
  <si>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</si>
  <si>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</si>
  <si>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</si>
  <si>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</si>
  <si>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</si>
  <si>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</si>
  <si>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</si>
  <si>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</si>
  <si>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</si>
  <si>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</si>
  <si>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</si>
  <si>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</si>
  <si>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</si>
  <si>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</si>
  <si>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</si>
  <si>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</si>
  <si>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</si>
  <si>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</si>
  <si>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</si>
  <si>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</si>
  <si>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</si>
  <si>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</si>
  <si>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</si>
  <si>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</si>
  <si>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</si>
  <si>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</si>
  <si>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</si>
  <si>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</si>
  <si>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</si>
  <si>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</si>
  <si>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</si>
  <si>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</si>
  <si>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</si>
  <si>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</si>
  <si>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</si>
  <si>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</si>
  <si>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</si>
  <si>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</si>
  <si>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</si>
  <si>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</si>
  <si>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</si>
  <si>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</si>
  <si>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</si>
  <si>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</si>
  <si>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</si>
  <si>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</si>
  <si>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</si>
  <si>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</si>
  <si>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</si>
  <si>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</si>
  <si>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</si>
  <si>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</si>
  <si>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</si>
  <si>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</si>
  <si>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</si>
  <si>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</si>
  <si>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</si>
  <si>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</si>
  <si>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</si>
  <si>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</si>
  <si>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</si>
  <si>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</si>
  <si>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</si>
  <si>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</si>
  <si>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</si>
  <si>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</si>
  <si>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</si>
  <si>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</si>
  <si>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</si>
  <si>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</si>
  <si>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</si>
  <si>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</si>
  <si>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</si>
  <si>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</si>
  <si>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</si>
  <si>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</si>
  <si>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</si>
  <si>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</si>
  <si>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</si>
  <si>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</si>
  <si>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</si>
  <si>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</si>
  <si>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</si>
  <si>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</si>
  <si>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</si>
  <si>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</si>
  <si>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</si>
  <si>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</si>
  <si>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</si>
  <si>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</si>
  <si>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</si>
  <si>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</si>
  <si>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</si>
  <si>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</si>
  <si>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</si>
  <si>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</si>
  <si>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</si>
  <si>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</si>
  <si>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</si>
  <si>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</si>
  <si>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</si>
  <si>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</si>
  <si>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</si>
  <si>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</si>
  <si>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</si>
  <si>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</si>
  <si>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</si>
  <si>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</si>
  <si>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</si>
  <si>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</si>
  <si>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</si>
  <si>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</si>
  <si>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</si>
  <si>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</si>
  <si>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</si>
  <si>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</si>
  <si>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</si>
  <si>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</si>
  <si>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</si>
  <si>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</si>
  <si>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</si>
  <si>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</si>
  <si>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</si>
  <si>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</si>
  <si>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</si>
  <si>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</si>
  <si>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</si>
  <si>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</si>
  <si>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</si>
  <si>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</si>
  <si>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</si>
  <si>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</si>
  <si>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</si>
  <si>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</si>
  <si>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</si>
  <si>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</si>
  <si>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</si>
  <si>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</si>
  <si>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</si>
  <si>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</si>
  <si>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</si>
  <si>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</si>
  <si>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</si>
  <si>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</si>
  <si>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</si>
  <si>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</si>
  <si>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</si>
  <si>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</si>
  <si>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</si>
  <si>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</si>
  <si>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</si>
  <si>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</si>
  <si>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</si>
  <si>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</si>
  <si>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</si>
  <si>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</si>
  <si>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</si>
  <si>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</si>
  <si>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</si>
  <si>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</si>
  <si>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</si>
  <si>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</si>
  <si>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</si>
  <si>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</si>
  <si>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</si>
  <si>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</si>
  <si>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</si>
  <si>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</si>
  <si>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</si>
  <si>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</si>
  <si>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</si>
  <si>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</si>
  <si>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</si>
  <si>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</si>
  <si>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</si>
  <si>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</si>
  <si>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</si>
  <si>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</si>
  <si>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</si>
  <si>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</si>
  <si>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</si>
  <si>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</si>
  <si>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</si>
  <si>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</si>
  <si>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</si>
  <si>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</si>
  <si>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</si>
  <si>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</si>
  <si>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</si>
  <si>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</si>
  <si>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</si>
  <si>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</si>
  <si>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</si>
  <si>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</si>
  <si>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</si>
  <si>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</si>
  <si>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</si>
  <si>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</si>
  <si>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</si>
  <si>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</si>
  <si>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</si>
  <si>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</si>
  <si>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</si>
  <si>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</si>
  <si>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</si>
  <si>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</si>
  <si>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</si>
  <si>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</si>
  <si>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</si>
  <si>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</si>
  <si>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</si>
  <si>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</si>
  <si>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</si>
  <si>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</si>
  <si>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</si>
  <si>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</si>
  <si>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</si>
  <si>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</si>
  <si>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</si>
  <si>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</si>
  <si>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</si>
  <si>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</si>
  <si>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</si>
  <si>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</si>
  <si>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</si>
  <si>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</si>
  <si>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</si>
  <si>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</si>
  <si>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</si>
  <si>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</si>
  <si>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</si>
  <si>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</si>
  <si>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</si>
  <si>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</si>
  <si>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</si>
  <si>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</si>
  <si>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</si>
  <si>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</si>
  <si>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</si>
  <si>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</si>
  <si>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</si>
  <si>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</si>
  <si>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</si>
  <si>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</si>
  <si>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</si>
  <si>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</si>
  <si>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</si>
  <si>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</si>
  <si>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</si>
  <si>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</si>
  <si>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</si>
  <si>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</si>
  <si>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</si>
  <si>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</si>
  <si>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</si>
  <si>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</si>
  <si>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</si>
  <si>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</si>
  <si>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</si>
  <si>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</si>
  <si>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</si>
  <si>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</si>
  <si>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</si>
  <si>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</si>
  <si>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</si>
  <si>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</si>
  <si>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</si>
  <si>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</si>
  <si>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</si>
  <si>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</si>
  <si>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</si>
  <si>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</si>
  <si>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</si>
  <si>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</si>
  <si>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</si>
  <si>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</si>
  <si>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</si>
  <si>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</si>
  <si>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</si>
  <si>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</si>
  <si>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</si>
  <si>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</si>
  <si>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</si>
  <si>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</si>
  <si>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</si>
  <si>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</si>
  <si>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</si>
  <si>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</si>
  <si>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</si>
  <si>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</si>
  <si>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</si>
  <si>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</si>
  <si>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</si>
  <si>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</si>
  <si>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</si>
  <si>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</si>
  <si>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</si>
  <si>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</si>
  <si>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</si>
  <si>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</si>
  <si>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</si>
  <si>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</si>
  <si>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</si>
  <si>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</si>
  <si>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</si>
  <si>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</si>
  <si>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</si>
  <si>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</si>
  <si>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</si>
  <si>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</si>
  <si>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</si>
  <si>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</si>
  <si>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</si>
  <si>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</si>
  <si>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</si>
  <si>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</si>
  <si>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</si>
  <si>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</si>
  <si>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</si>
  <si>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</si>
  <si>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</si>
  <si>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</si>
  <si>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</si>
  <si>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</si>
  <si>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</si>
  <si>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</si>
  <si>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</si>
  <si>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</si>
  <si>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</si>
  <si>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</si>
  <si>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</si>
  <si>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</si>
  <si>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</si>
  <si>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</si>
  <si>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</si>
  <si>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</si>
  <si>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</si>
  <si>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</si>
  <si>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</si>
  <si>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</si>
  <si>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</si>
  <si>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</si>
  <si>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</si>
  <si>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</si>
  <si>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</si>
  <si>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</si>
  <si>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</si>
  <si>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</si>
  <si>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</si>
  <si>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</si>
  <si>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</si>
  <si>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</si>
  <si>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</si>
  <si>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</si>
  <si>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</si>
  <si>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</si>
  <si>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</si>
  <si>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</si>
  <si>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</si>
  <si>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</si>
  <si>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</si>
  <si>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</si>
  <si>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</si>
  <si>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</si>
  <si>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</si>
  <si>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</si>
  <si>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</si>
  <si>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</si>
  <si>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</si>
  <si>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</si>
  <si>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</si>
  <si>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</si>
  <si>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</si>
  <si>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</si>
  <si>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</si>
  <si>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</si>
  <si>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</si>
  <si>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</si>
  <si>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</si>
  <si>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</si>
  <si>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</si>
  <si>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</si>
  <si>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</si>
  <si>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</si>
  <si>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</si>
  <si>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</si>
  <si>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</si>
  <si>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</si>
  <si>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</si>
  <si>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</si>
  <si>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</si>
  <si>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</si>
  <si>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</si>
  <si>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</si>
  <si>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</si>
  <si>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</si>
  <si>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</si>
  <si>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</si>
  <si>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</si>
  <si>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</si>
  <si>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</si>
  <si>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</si>
  <si>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</si>
  <si>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</si>
  <si>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</si>
  <si>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</si>
  <si>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</si>
  <si>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</si>
  <si>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</si>
  <si>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</si>
  <si>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</si>
  <si>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</si>
  <si>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</si>
  <si>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</si>
  <si>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</si>
  <si>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</si>
  <si>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</si>
  <si>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</si>
  <si>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</si>
  <si>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</si>
  <si>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</si>
  <si>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</si>
  <si>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</si>
  <si>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</si>
  <si>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</si>
  <si>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</si>
  <si>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</si>
  <si>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</si>
  <si>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</si>
  <si>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</si>
  <si>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</si>
  <si>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</si>
  <si>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</si>
  <si>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</si>
  <si>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</si>
  <si>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</si>
  <si>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</si>
  <si>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</si>
  <si>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</si>
  <si>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</si>
  <si>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</si>
  <si>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</si>
  <si>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</si>
  <si>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</si>
  <si>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</si>
  <si>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</si>
  <si>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</si>
  <si>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</si>
  <si>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</si>
  <si>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</si>
  <si>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</si>
  <si>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</si>
  <si>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</si>
  <si>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</si>
  <si>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</si>
  <si>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</si>
  <si>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</si>
  <si>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</si>
  <si>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</si>
  <si>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</si>
  <si>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</si>
  <si>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</si>
  <si>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</si>
  <si>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</si>
  <si>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</si>
  <si>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</si>
  <si>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</si>
  <si>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</si>
  <si>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</si>
  <si>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</si>
  <si>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</si>
  <si>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</si>
  <si>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</si>
  <si>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</si>
  <si>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</si>
  <si>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</si>
  <si>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</si>
  <si>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</si>
  <si>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</si>
  <si>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</si>
  <si>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</si>
  <si>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</si>
  <si>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</si>
  <si>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</si>
  <si>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</si>
  <si>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</si>
  <si>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</si>
  <si>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</si>
  <si>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</si>
  <si>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</si>
  <si>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</si>
  <si>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</si>
  <si>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</si>
  <si>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</si>
  <si>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</si>
  <si>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</si>
  <si>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</si>
  <si>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</si>
  <si>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</si>
  <si>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</si>
  <si>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</si>
  <si>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</si>
  <si>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</si>
  <si>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</si>
  <si>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</si>
  <si>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</si>
  <si>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</si>
  <si>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</si>
  <si>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</si>
  <si>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</si>
  <si>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</si>
  <si>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</si>
  <si>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</si>
  <si>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</si>
  <si>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</si>
  <si>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</si>
  <si>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</si>
  <si>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</si>
  <si>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</si>
  <si>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</si>
  <si>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</si>
  <si>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</si>
  <si>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</si>
  <si>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</si>
  <si>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</si>
  <si>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</si>
  <si>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</si>
  <si>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</si>
  <si>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</si>
  <si>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</si>
  <si>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</si>
  <si>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</si>
  <si>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</si>
  <si>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</si>
  <si>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</si>
  <si>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</si>
  <si>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</si>
  <si>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</si>
  <si>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</si>
  <si>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</si>
  <si>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</si>
  <si>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</si>
  <si>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</si>
  <si>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</si>
  <si>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</si>
  <si>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</si>
  <si>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</si>
  <si>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</si>
  <si>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</si>
  <si>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</si>
  <si>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</si>
  <si>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</si>
  <si>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</si>
  <si>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</si>
  <si>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</si>
  <si>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</si>
  <si>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</si>
  <si>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</si>
  <si>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</si>
  <si>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</si>
  <si>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</si>
  <si>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</si>
  <si>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</si>
  <si>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</si>
  <si>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</si>
  <si>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</si>
  <si>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</si>
  <si>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</si>
  <si>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</si>
  <si>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</si>
  <si>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</si>
  <si>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</si>
  <si>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</si>
  <si>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</si>
  <si>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</si>
  <si>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</si>
  <si>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</si>
  <si>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</si>
  <si>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</si>
  <si>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</si>
  <si>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</si>
  <si>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</si>
  <si>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</si>
  <si>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</si>
  <si>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</si>
  <si>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</si>
  <si>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</si>
  <si>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</si>
  <si>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</si>
  <si>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</si>
  <si>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</si>
  <si>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</si>
  <si>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</si>
  <si>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</si>
  <si>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</si>
  <si>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</si>
  <si>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</si>
  <si>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</si>
  <si>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</si>
  <si>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</si>
  <si>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</si>
  <si>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</si>
  <si>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</si>
  <si>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</si>
  <si>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</si>
  <si>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</si>
  <si>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</si>
  <si>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</si>
  <si>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</si>
  <si>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</si>
  <si>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</si>
  <si>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</si>
  <si>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</si>
  <si>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</si>
  <si>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</si>
  <si>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</si>
  <si>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</si>
  <si>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</si>
  <si>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</si>
  <si>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</si>
  <si>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</si>
  <si>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</si>
  <si>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</si>
  <si>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</si>
  <si>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</si>
  <si>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</si>
  <si>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</si>
  <si>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</si>
  <si>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</si>
  <si>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</si>
  <si>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</si>
  <si>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</si>
  <si>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</si>
  <si>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</si>
  <si>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</si>
  <si>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</si>
  <si>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</si>
  <si>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</si>
  <si>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</si>
  <si>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</si>
  <si>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</si>
  <si>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</si>
  <si>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</si>
  <si>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</si>
  <si>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</si>
  <si>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</si>
  <si>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</si>
  <si>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</si>
  <si>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</si>
  <si>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</si>
  <si>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</si>
  <si>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</si>
  <si>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</si>
  <si>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</si>
  <si>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</si>
  <si>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</si>
  <si>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</si>
  <si>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</si>
  <si>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</si>
  <si>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</si>
  <si>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</si>
  <si>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</si>
  <si>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</si>
  <si>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</si>
  <si>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</si>
  <si>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</si>
  <si>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</si>
  <si>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</si>
  <si>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</si>
  <si>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</si>
  <si>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</si>
  <si>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</si>
  <si>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</si>
  <si>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</si>
  <si>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</si>
  <si>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</si>
  <si>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</si>
  <si>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</si>
  <si>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</si>
  <si>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</si>
  <si>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</si>
  <si>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</si>
  <si>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</si>
  <si>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</si>
  <si>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</si>
  <si>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</si>
  <si>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</si>
  <si>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</si>
  <si>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</si>
  <si>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</si>
  <si>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</si>
  <si>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</si>
  <si>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</si>
  <si>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</si>
  <si>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</si>
  <si>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</si>
  <si>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</si>
  <si>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</si>
  <si>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</si>
  <si>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</si>
  <si>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</si>
  <si>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</si>
  <si>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</si>
  <si>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</si>
  <si>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</si>
  <si>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</si>
  <si>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</si>
  <si>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</si>
  <si>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</si>
  <si>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</si>
  <si>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</si>
  <si>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</si>
  <si>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</si>
  <si>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</si>
  <si>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</si>
  <si>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</si>
  <si>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</si>
  <si>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</si>
  <si>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</si>
  <si>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</si>
  <si>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</si>
  <si>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</si>
  <si>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</si>
  <si>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</si>
  <si>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</si>
  <si>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</si>
  <si>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</si>
  <si>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</si>
  <si>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</si>
  <si>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</si>
  <si>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</si>
  <si>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</si>
  <si>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</si>
  <si>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</si>
  <si>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</si>
  <si>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</si>
  <si>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</si>
  <si>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</si>
  <si>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</si>
  <si>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</si>
  <si>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</si>
  <si>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</si>
  <si>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</si>
  <si>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</si>
  <si>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</si>
  <si>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</si>
  <si>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</si>
  <si>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</si>
  <si>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</si>
  <si>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</si>
  <si>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</si>
  <si>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</si>
  <si>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</si>
  <si>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</si>
  <si>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</si>
  <si>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</si>
  <si>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</si>
  <si>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</si>
  <si>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</si>
  <si>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</si>
  <si>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</si>
  <si>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</si>
  <si>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</si>
  <si>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</si>
  <si>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</si>
  <si>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</si>
  <si>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</si>
  <si>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</si>
  <si>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</si>
  <si>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</si>
  <si>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</si>
  <si>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</si>
  <si>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</si>
  <si>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</si>
  <si>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</si>
  <si>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</si>
  <si>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</si>
  <si>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</si>
  <si>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</si>
  <si>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</si>
  <si>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</si>
  <si>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</si>
  <si>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</si>
  <si>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</si>
  <si>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</si>
  <si>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</si>
  <si>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</si>
  <si>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</si>
  <si>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</si>
  <si>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</si>
  <si>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</si>
  <si>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</si>
  <si>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</si>
  <si>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</si>
  <si>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</si>
  <si>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</si>
  <si>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</si>
  <si>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</si>
  <si>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</si>
  <si>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</si>
  <si>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</si>
  <si>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</si>
  <si>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</si>
  <si>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</si>
  <si>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</si>
  <si>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</si>
  <si>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</si>
  <si>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</si>
  <si>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</si>
  <si>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</si>
  <si>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</si>
  <si>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</si>
  <si>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</si>
  <si>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</si>
  <si>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</si>
  <si>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</si>
  <si>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</si>
  <si>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</si>
  <si>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</si>
  <si>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</si>
  <si>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</si>
  <si>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</si>
  <si>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</si>
  <si>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</si>
  <si>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</si>
  <si>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</si>
  <si>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</si>
  <si>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</si>
  <si>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</si>
  <si>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</si>
  <si>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</si>
  <si>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</si>
  <si>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</si>
  <si>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</si>
  <si>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</si>
  <si>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</si>
  <si>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</si>
  <si>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</si>
  <si>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</si>
  <si>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</si>
  <si>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</si>
  <si>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</si>
  <si>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</si>
  <si>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</si>
  <si>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</si>
  <si>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</si>
  <si>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</si>
  <si>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</si>
  <si>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</si>
  <si>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</si>
  <si>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</si>
  <si>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</si>
  <si>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</si>
  <si>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</si>
  <si>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</si>
  <si>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</si>
  <si>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</si>
  <si>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</si>
  <si>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</si>
  <si>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</si>
  <si>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</si>
  <si>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</si>
  <si>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</si>
  <si>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</si>
  <si>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</si>
  <si>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</si>
  <si>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</si>
  <si>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</si>
  <si>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</si>
  <si>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</si>
  <si>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</si>
  <si>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</si>
  <si>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</si>
  <si>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</si>
  <si>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</si>
  <si>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</si>
  <si>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</si>
  <si>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</si>
  <si>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</si>
  <si>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</si>
  <si>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</si>
  <si>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</si>
  <si>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</si>
  <si>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</si>
  <si>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</si>
  <si>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</si>
  <si>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</si>
  <si>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</si>
  <si>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</si>
  <si>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</si>
  <si>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</si>
  <si>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</si>
  <si>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</si>
  <si>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</si>
  <si>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</si>
  <si>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</si>
  <si>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</si>
  <si>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</si>
  <si>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</si>
  <si>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</si>
  <si>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</si>
  <si>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</si>
  <si>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</si>
  <si>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</si>
  <si>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</si>
  <si>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</si>
  <si>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</si>
  <si>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</si>
  <si>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</si>
  <si>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</si>
  <si>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</si>
  <si>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</si>
  <si>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</si>
  <si>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</si>
  <si>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</si>
  <si>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</si>
  <si>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</si>
  <si>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</si>
  <si>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</si>
  <si>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</si>
  <si>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</si>
  <si>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</si>
  <si>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</si>
  <si>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</si>
  <si>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</si>
  <si>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</si>
  <si>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</si>
  <si>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</si>
  <si>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</si>
  <si>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</si>
  <si>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</si>
  <si>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</si>
  <si>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</si>
  <si>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</si>
  <si>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</si>
  <si>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</si>
  <si>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</si>
  <si>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</si>
  <si>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</si>
  <si>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</si>
  <si>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</si>
  <si>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</si>
  <si>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</si>
  <si>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</si>
  <si>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</si>
  <si>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</si>
  <si>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</si>
  <si>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</si>
  <si>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</si>
  <si>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</si>
  <si>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</si>
  <si>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</si>
  <si>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</si>
  <si>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</si>
  <si>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</si>
  <si>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</si>
  <si>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</si>
  <si>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</si>
  <si>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</si>
  <si>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</si>
  <si>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</si>
  <si>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</si>
  <si>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</si>
  <si>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</si>
  <si>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</si>
  <si>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</si>
  <si>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</si>
  <si>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</si>
  <si>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</si>
  <si>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</si>
  <si>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</si>
  <si>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</si>
  <si>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</si>
  <si>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</si>
  <si>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</si>
  <si>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</si>
  <si>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</si>
  <si>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</si>
  <si>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</si>
  <si>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</si>
  <si>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</si>
  <si>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</si>
  <si>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</si>
  <si>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</si>
  <si>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</si>
  <si>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</si>
  <si>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</si>
  <si>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</si>
  <si>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</si>
  <si>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</si>
  <si>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</si>
  <si>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</si>
  <si>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</si>
  <si>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</si>
  <si>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</si>
  <si>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</si>
  <si>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</si>
  <si>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</si>
  <si>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</si>
  <si>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</si>
  <si>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</si>
  <si>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</si>
  <si>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</si>
  <si>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</si>
  <si>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</si>
  <si>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</si>
  <si>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</si>
  <si>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</si>
  <si>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</si>
  <si>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</si>
  <si>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</si>
  <si>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</si>
  <si>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</si>
  <si>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</si>
  <si>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</si>
  <si>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</si>
  <si>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</si>
  <si>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</si>
  <si>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</si>
  <si>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</si>
  <si>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</si>
  <si>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</si>
  <si>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</si>
  <si>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</si>
  <si>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</si>
  <si>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</si>
  <si>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</si>
  <si>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</si>
  <si>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</si>
  <si>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</si>
  <si>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</si>
  <si>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</si>
  <si>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</si>
  <si>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</si>
  <si>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</si>
  <si>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</si>
  <si>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</si>
  <si>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</si>
  <si>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</si>
  <si>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</si>
  <si>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</si>
  <si>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</si>
  <si>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</si>
  <si>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</si>
  <si>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</si>
  <si>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</si>
  <si>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</si>
  <si>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</si>
  <si>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</si>
  <si>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</si>
  <si>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</si>
  <si>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</si>
  <si>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</si>
  <si>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</si>
  <si>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</si>
  <si>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</si>
  <si>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</si>
  <si>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</si>
  <si>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</si>
  <si>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</si>
  <si>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</si>
  <si>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</si>
  <si>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</si>
  <si>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</si>
  <si>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</si>
  <si>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</si>
  <si>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</si>
  <si>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</si>
  <si>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</si>
  <si>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</si>
  <si>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</si>
  <si>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</si>
  <si>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</si>
  <si>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</si>
  <si>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</si>
  <si>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</si>
  <si>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</si>
  <si>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</si>
  <si>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</si>
  <si>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</si>
  <si>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</si>
  <si>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</si>
  <si>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</si>
  <si>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</si>
  <si>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</si>
  <si>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</si>
  <si>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</si>
  <si>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</si>
  <si>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</si>
  <si>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</si>
  <si>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</si>
  <si>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</si>
  <si>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</si>
  <si>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</si>
  <si>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</si>
  <si>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</si>
  <si>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</si>
  <si>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</si>
  <si>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</si>
  <si>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</si>
  <si>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</si>
  <si>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</si>
  <si>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</si>
  <si>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</si>
  <si>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</si>
  <si>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</si>
  <si>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</si>
  <si>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</si>
  <si>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</si>
  <si>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</si>
  <si>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</si>
  <si>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</si>
  <si>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</si>
  <si>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</si>
  <si>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</si>
  <si>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</si>
  <si>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</si>
  <si>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</si>
  <si>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</si>
  <si>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</si>
  <si>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</si>
  <si>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</si>
  <si>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</si>
  <si>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</si>
  <si>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</si>
  <si>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</si>
  <si>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</si>
  <si>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</si>
  <si>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</si>
  <si>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</si>
  <si>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</si>
  <si>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</si>
  <si>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</si>
  <si>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</si>
  <si>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</si>
  <si>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</si>
  <si>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</si>
  <si>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</si>
  <si>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</si>
  <si>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</si>
  <si>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</si>
  <si>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</si>
  <si>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</si>
  <si>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</si>
  <si>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</si>
  <si>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</si>
  <si>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</si>
  <si>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</si>
  <si>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</si>
  <si>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</si>
  <si>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</si>
  <si>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</si>
  <si>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</si>
  <si>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</si>
  <si>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</si>
  <si>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</si>
  <si>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</si>
  <si>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</si>
  <si>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</si>
  <si>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</si>
  <si>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</si>
  <si>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</si>
  <si>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</si>
  <si>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</si>
  <si>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</si>
  <si>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</si>
  <si>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</si>
  <si>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</si>
  <si>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</si>
  <si>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</si>
  <si>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</si>
  <si>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</si>
  <si>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</si>
  <si>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</si>
  <si>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</si>
  <si>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</si>
  <si>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</si>
  <si>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</si>
  <si>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</si>
  <si>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</si>
  <si>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</si>
  <si>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</si>
  <si>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</si>
  <si>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</si>
  <si>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</si>
  <si>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</si>
  <si>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</si>
  <si>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</si>
  <si>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</si>
  <si>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</si>
  <si>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</si>
  <si>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</si>
  <si>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</si>
  <si>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</si>
  <si>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</si>
  <si>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</si>
  <si>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</si>
  <si>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</si>
  <si>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</si>
  <si>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</si>
  <si>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</si>
  <si>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</si>
  <si>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</si>
  <si>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</si>
  <si>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</si>
  <si>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</si>
  <si>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</si>
  <si>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</si>
  <si>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</si>
  <si>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</si>
  <si>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</si>
  <si>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</si>
  <si>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</si>
  <si>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</si>
  <si>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</si>
  <si>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</si>
  <si>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</si>
  <si>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</si>
  <si>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</si>
  <si>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</si>
  <si>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</si>
  <si>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</si>
  <si>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</si>
  <si>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</si>
  <si>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</si>
  <si>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</si>
  <si>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</si>
  <si>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</si>
  <si>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</si>
  <si>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</si>
  <si>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</si>
  <si>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</si>
  <si>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</si>
  <si>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</si>
  <si>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</si>
  <si>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</si>
  <si>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</si>
  <si>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</si>
  <si>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</si>
  <si>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</si>
  <si>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</si>
  <si>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</si>
  <si>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</si>
  <si>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</si>
  <si>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</si>
  <si>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</si>
  <si>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</si>
  <si>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</si>
  <si>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</si>
  <si>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</si>
  <si>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</si>
  <si>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</si>
  <si>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</si>
  <si>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</si>
  <si>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</si>
  <si>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</si>
  <si>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</si>
  <si>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</si>
  <si>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</si>
  <si>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</si>
  <si>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</si>
  <si>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</si>
  <si>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</si>
  <si>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</si>
  <si>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</si>
  <si>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</si>
  <si>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</si>
  <si>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</si>
  <si>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</si>
  <si>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</si>
  <si>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</si>
  <si>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</si>
  <si>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</si>
  <si>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</si>
  <si>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</si>
  <si>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</si>
  <si>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</si>
  <si>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</si>
  <si>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</si>
  <si>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</si>
  <si>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</si>
  <si>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</si>
  <si>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</si>
  <si>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</si>
  <si>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</si>
  <si>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</si>
  <si>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</si>
  <si>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</si>
  <si>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</si>
  <si>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</si>
  <si>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</si>
  <si>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</si>
  <si>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</si>
  <si>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</si>
  <si>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</si>
  <si>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</si>
  <si>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</si>
  <si>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</si>
  <si>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</si>
  <si>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</si>
  <si>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</si>
  <si>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</si>
  <si>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</si>
  <si>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</si>
  <si>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</si>
  <si>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</si>
  <si>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</si>
  <si>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</si>
  <si>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</si>
  <si>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</si>
  <si>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</si>
  <si>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</si>
  <si>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</si>
  <si>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</si>
  <si>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</si>
  <si>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</si>
  <si>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</si>
  <si>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</si>
  <si>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</si>
  <si>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</si>
  <si>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</si>
  <si>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</si>
  <si>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</si>
  <si>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</si>
  <si>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</si>
  <si>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</si>
  <si>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</si>
  <si>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</si>
  <si>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</si>
  <si>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</si>
  <si>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</si>
  <si>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</si>
  <si>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</si>
  <si>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</si>
  <si>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</si>
  <si>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</si>
  <si>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</si>
  <si>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</si>
  <si>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</si>
  <si>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</si>
  <si>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</si>
  <si>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</si>
  <si>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</si>
  <si>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</si>
  <si>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</si>
  <si>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</si>
  <si>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</si>
  <si>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</si>
  <si>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</si>
  <si>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</si>
  <si>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</si>
  <si>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</si>
  <si>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</si>
  <si>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</si>
  <si>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</si>
  <si>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</si>
  <si>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</si>
  <si>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</si>
  <si>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</si>
  <si>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</si>
  <si>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</si>
  <si>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</si>
  <si>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</si>
  <si>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</si>
  <si>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</si>
  <si>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</si>
  <si>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</si>
  <si>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</si>
  <si>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</si>
  <si>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</si>
  <si>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</si>
  <si>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</si>
  <si>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</si>
  <si>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</si>
  <si>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</si>
  <si>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</si>
  <si>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</si>
  <si>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</si>
  <si>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</si>
  <si>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</si>
  <si>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</si>
  <si>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</si>
  <si>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</si>
  <si>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</si>
  <si>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</si>
  <si>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</si>
  <si>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</si>
  <si>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</si>
  <si>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</si>
  <si>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</si>
  <si>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</si>
  <si>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</si>
  <si>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</si>
  <si>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</si>
  <si>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</si>
  <si>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</si>
  <si>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</si>
  <si>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</si>
  <si>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</si>
  <si>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</si>
  <si>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</si>
  <si>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</si>
  <si>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</si>
  <si>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</si>
  <si>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</si>
  <si>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</si>
  <si>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</si>
  <si>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</si>
  <si>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</si>
  <si>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</si>
  <si>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</si>
  <si>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</si>
  <si>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</si>
  <si>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</si>
  <si>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</si>
  <si>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</si>
  <si>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</si>
  <si>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</si>
  <si>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</si>
  <si>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</si>
  <si>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</si>
  <si>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</si>
  <si>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</si>
  <si>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</si>
  <si>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</si>
  <si>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</si>
  <si>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</si>
  <si>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</si>
  <si>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</si>
  <si>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</si>
  <si>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</si>
  <si>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</si>
  <si>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</si>
  <si>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</si>
  <si>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</si>
  <si>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</si>
  <si>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</si>
  <si>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</si>
  <si>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</si>
  <si>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</si>
  <si>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</si>
  <si>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</si>
  <si>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</si>
  <si>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</si>
  <si>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</si>
  <si>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</si>
  <si>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</si>
  <si>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</si>
  <si>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</si>
  <si>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</si>
  <si>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</si>
  <si>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</si>
  <si>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</si>
  <si>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</si>
  <si>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</si>
  <si>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</si>
  <si>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</si>
  <si>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</si>
  <si>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</si>
  <si>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</si>
  <si>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</si>
  <si>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</si>
  <si>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</si>
  <si>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</si>
  <si>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</si>
  <si>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</si>
  <si>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</si>
  <si>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</si>
  <si>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</si>
  <si>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</si>
  <si>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</si>
  <si>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</si>
  <si>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</si>
  <si>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</si>
  <si>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</si>
  <si>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</si>
  <si>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</si>
  <si>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</si>
  <si>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</si>
  <si>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</si>
  <si>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</si>
  <si>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</si>
  <si>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</si>
  <si>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</si>
  <si>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</si>
  <si>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</si>
  <si>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</si>
  <si>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</si>
  <si>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</si>
  <si>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</si>
  <si>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</si>
  <si>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</si>
  <si>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</si>
  <si>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</si>
  <si>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</si>
  <si>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</si>
  <si>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</si>
  <si>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</si>
  <si>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</si>
  <si>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</si>
  <si>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</si>
  <si>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</si>
  <si>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</si>
  <si>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</si>
  <si>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</si>
  <si>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</si>
  <si>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</si>
  <si>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</si>
  <si>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</si>
  <si>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</si>
  <si>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</si>
  <si>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</si>
  <si>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</si>
  <si>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</si>
  <si>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</si>
  <si>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</si>
  <si>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</si>
  <si>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</si>
  <si>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</si>
  <si>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</si>
  <si>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</si>
  <si>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</si>
  <si>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</si>
  <si>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</si>
  <si>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</si>
  <si>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</si>
  <si>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</si>
  <si>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</si>
  <si>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</si>
  <si>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</si>
  <si>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</si>
  <si>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</si>
  <si>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</si>
  <si>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</si>
  <si>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</si>
  <si>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</si>
  <si>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</si>
  <si>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</si>
  <si>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</si>
  <si>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</si>
  <si>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</si>
  <si>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</si>
  <si>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</si>
  <si>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</si>
  <si>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</si>
  <si>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</si>
  <si>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</si>
  <si>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</si>
  <si>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</si>
  <si>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</si>
  <si>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</si>
  <si>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</si>
  <si>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</si>
  <si>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</si>
  <si>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</si>
  <si>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</si>
  <si>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</si>
  <si>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</si>
  <si>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</si>
  <si>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</si>
  <si>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</si>
  <si>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</si>
  <si>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</si>
  <si>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</si>
  <si>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</si>
  <si>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</si>
  <si>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</si>
  <si>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</si>
  <si>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</si>
  <si>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</si>
  <si>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</si>
  <si>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</si>
  <si>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</si>
  <si>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</si>
  <si>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</si>
  <si>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</si>
  <si>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</si>
  <si>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</si>
  <si>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</si>
  <si>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</si>
  <si>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</si>
  <si>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</si>
  <si>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</si>
  <si>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</si>
  <si>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</si>
  <si>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</si>
  <si>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</si>
  <si>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</si>
  <si>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</si>
  <si>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</si>
  <si>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</si>
  <si>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</si>
  <si>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</si>
  <si>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</si>
  <si>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</si>
  <si>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</si>
  <si>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</si>
  <si>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</si>
  <si>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</si>
  <si>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</si>
  <si>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</si>
  <si>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</si>
  <si>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</si>
  <si>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</si>
  <si>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</si>
  <si>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</si>
  <si>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</si>
  <si>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</si>
  <si>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</si>
  <si>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</si>
  <si>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</si>
  <si>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</si>
  <si>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</si>
  <si>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</si>
  <si>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</si>
  <si>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</si>
  <si>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</si>
  <si>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</si>
  <si>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</si>
  <si>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</si>
  <si>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</si>
  <si>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</si>
  <si>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</si>
  <si>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</si>
  <si>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</si>
  <si>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</si>
  <si>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</si>
  <si>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</si>
  <si>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</si>
  <si>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</si>
  <si>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</si>
  <si>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</si>
  <si>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</si>
  <si>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</si>
  <si>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</si>
  <si>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</si>
  <si>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</si>
  <si>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</si>
  <si>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</si>
  <si>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</si>
  <si>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</si>
  <si>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</si>
  <si>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</si>
  <si>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</si>
  <si>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</si>
  <si>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</si>
  <si>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</si>
  <si>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</si>
  <si>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</si>
  <si>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</si>
  <si>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</si>
  <si>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</si>
  <si>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</si>
  <si>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</si>
  <si>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</si>
  <si>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</si>
  <si>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</si>
  <si>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</si>
  <si>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</si>
  <si>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</si>
  <si>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</si>
  <si>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</si>
  <si>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</si>
  <si>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</si>
  <si>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</si>
  <si>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</si>
  <si>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</si>
  <si>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</si>
  <si>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</si>
  <si>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</si>
  <si>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</si>
  <si>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</si>
  <si>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</si>
  <si>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</si>
  <si>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</si>
  <si>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</si>
  <si>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</si>
  <si>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</si>
  <si>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</si>
  <si>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</si>
  <si>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</si>
  <si>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</si>
  <si>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</si>
  <si>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</si>
  <si>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</si>
  <si>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</si>
  <si>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</si>
  <si>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</si>
  <si>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</si>
  <si>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</si>
  <si>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</si>
  <si>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</si>
  <si>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</si>
  <si>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</si>
  <si>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</si>
  <si>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</si>
  <si>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</si>
  <si>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</si>
  <si>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</si>
  <si>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</si>
  <si>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</si>
  <si>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</si>
  <si>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</si>
  <si>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</si>
  <si>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</si>
  <si>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</si>
  <si>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</si>
  <si>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</si>
  <si>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</si>
  <si>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</si>
  <si>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</si>
  <si>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</si>
  <si>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</si>
  <si>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</si>
  <si>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</si>
  <si>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</si>
  <si>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</si>
  <si>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</si>
  <si>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</si>
  <si>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</si>
  <si>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</si>
  <si>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</si>
  <si>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</si>
  <si>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</si>
  <si>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</si>
  <si>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</si>
  <si>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</si>
  <si>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</si>
  <si>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</si>
  <si>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</si>
  <si>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</si>
  <si>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</si>
  <si>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</si>
  <si>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</si>
  <si>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</si>
  <si>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</si>
  <si>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</si>
  <si>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</si>
  <si>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</si>
  <si>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</si>
  <si>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</si>
  <si>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</si>
  <si>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</si>
  <si>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</si>
  <si>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</si>
  <si>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</si>
  <si>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</si>
  <si>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</si>
  <si>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</si>
  <si>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</si>
  <si>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</si>
  <si>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</si>
  <si>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</si>
  <si>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</si>
  <si>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</si>
  <si>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</si>
  <si>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</si>
  <si>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</si>
  <si>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</si>
  <si>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</si>
  <si>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</si>
  <si>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</si>
  <si>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</si>
  <si>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</si>
  <si>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</si>
  <si>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</si>
  <si>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</si>
  <si>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</si>
  <si>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</si>
  <si>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</si>
  <si>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</si>
  <si>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</si>
  <si>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</si>
  <si>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</si>
  <si>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</si>
  <si>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</si>
  <si>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</si>
  <si>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</si>
  <si>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</si>
  <si>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</si>
  <si>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</si>
  <si>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</si>
  <si>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</si>
  <si>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</si>
  <si>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</si>
  <si>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</si>
  <si>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</si>
  <si>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</si>
  <si>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</si>
  <si>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</si>
  <si>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</si>
  <si>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</si>
  <si>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</si>
  <si>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</si>
  <si>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</si>
  <si>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</si>
  <si>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</si>
  <si>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</si>
  <si>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</si>
  <si>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</si>
  <si>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</si>
  <si>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</si>
  <si>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</si>
  <si>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</si>
  <si>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</si>
  <si>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</si>
  <si>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</si>
  <si>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</si>
  <si>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</si>
  <si>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</si>
  <si>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</si>
  <si>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</si>
  <si>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</si>
  <si>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</si>
  <si>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</si>
  <si>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</si>
  <si>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</si>
  <si>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</si>
  <si>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</si>
  <si>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</si>
  <si>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</si>
  <si>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</si>
  <si>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</si>
  <si>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</si>
  <si>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</si>
  <si>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</si>
  <si>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</si>
  <si>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</si>
  <si>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</si>
  <si>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</si>
  <si>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</si>
  <si>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</si>
  <si>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</si>
  <si>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</si>
  <si>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</si>
  <si>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</si>
  <si>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</si>
  <si>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</si>
  <si>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</si>
  <si>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</si>
  <si>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</si>
  <si>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</si>
  <si>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</si>
  <si>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</si>
  <si>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</si>
  <si>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</si>
  <si>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</si>
  <si>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</si>
  <si>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</si>
  <si>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</si>
  <si>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</si>
  <si>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</si>
  <si>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</si>
  <si>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</si>
  <si>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</si>
  <si>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</si>
  <si>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</si>
  <si>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</si>
  <si>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</si>
  <si>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</si>
  <si>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</si>
  <si>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</si>
  <si>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</si>
  <si>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</si>
  <si>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</si>
  <si>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</si>
  <si>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</si>
  <si>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</si>
  <si>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</si>
  <si>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</si>
  <si>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</si>
  <si>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</si>
  <si>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</si>
  <si>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</si>
  <si>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</si>
  <si>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</si>
  <si>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</si>
  <si>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</si>
  <si>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</si>
  <si>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</si>
  <si>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</si>
  <si>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</si>
  <si>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</si>
  <si>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</si>
  <si>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</si>
  <si>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</si>
  <si>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</si>
  <si>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</si>
  <si>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</si>
  <si>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</si>
  <si>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</si>
  <si>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</si>
  <si>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</si>
  <si>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</si>
  <si>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</si>
  <si>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</si>
  <si>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</si>
  <si>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</si>
  <si>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</si>
  <si>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</si>
  <si>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</si>
  <si>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</si>
  <si>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</si>
  <si>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</si>
  <si>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</si>
  <si>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</si>
  <si>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</si>
  <si>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</si>
  <si>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</si>
  <si>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</si>
  <si>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</si>
  <si>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</si>
  <si>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</si>
  <si>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</si>
  <si>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</si>
  <si>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</si>
  <si>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</si>
  <si>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</si>
  <si>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</si>
  <si>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</si>
  <si>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</si>
  <si>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</si>
  <si>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</si>
  <si>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</si>
  <si>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</si>
  <si>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</si>
  <si>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</si>
  <si>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</si>
  <si>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</si>
  <si>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</si>
  <si>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</si>
  <si>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</si>
  <si>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</si>
  <si>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</si>
  <si>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</si>
  <si>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</si>
  <si>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</si>
  <si>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</si>
  <si>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</si>
  <si>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</si>
  <si>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</si>
  <si>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</si>
  <si>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</si>
  <si>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</si>
  <si>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</si>
  <si>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</si>
  <si>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</si>
  <si>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</si>
  <si>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</si>
  <si>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</si>
  <si>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</si>
  <si>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</si>
  <si>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</si>
  <si>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</si>
  <si>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</si>
  <si>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</si>
  <si>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</si>
  <si>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</si>
  <si>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</si>
  <si>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</si>
  <si>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</si>
  <si>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</si>
  <si>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</si>
  <si>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</si>
  <si>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</si>
  <si>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</si>
  <si>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</si>
  <si>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</si>
  <si>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</si>
  <si>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</si>
  <si>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</si>
  <si>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</si>
  <si>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</si>
  <si>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</si>
  <si>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</si>
  <si>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</si>
  <si>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</si>
  <si>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</si>
  <si>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</si>
  <si>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</si>
  <si>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</si>
  <si>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</si>
  <si>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</si>
  <si>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</si>
  <si>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</si>
  <si>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</si>
  <si>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</si>
  <si>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</si>
  <si>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</si>
  <si>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</si>
  <si>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</si>
  <si>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</si>
  <si>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</si>
  <si>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</si>
  <si>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</si>
  <si>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</si>
  <si>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</si>
  <si>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</si>
  <si>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</si>
  <si>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</si>
  <si>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</si>
  <si>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</si>
  <si>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</si>
  <si>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</si>
  <si>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</si>
  <si>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</si>
  <si>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</si>
  <si>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</si>
  <si>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</si>
  <si>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</si>
  <si>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</si>
  <si>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</si>
  <si>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</si>
  <si>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</si>
  <si>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</si>
  <si>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</si>
  <si>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</si>
  <si>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</si>
  <si>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</si>
  <si>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</si>
  <si>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</si>
  <si>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</si>
  <si>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</si>
  <si>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</si>
  <si>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</si>
  <si>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</si>
  <si>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</si>
  <si>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</si>
  <si>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</si>
  <si>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</si>
  <si>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</si>
  <si>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</si>
  <si>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</si>
  <si>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</si>
  <si>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</si>
  <si>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</si>
  <si>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</si>
  <si>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</si>
  <si>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</si>
  <si>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</si>
  <si>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</si>
  <si>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</si>
  <si>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</si>
  <si>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</si>
  <si>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</si>
  <si>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</si>
  <si>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</si>
  <si>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</si>
  <si>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</si>
  <si>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</si>
  <si>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</si>
  <si>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</si>
  <si>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</si>
  <si>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</si>
  <si>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</si>
  <si>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</si>
  <si>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</si>
  <si>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</si>
  <si>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</si>
  <si>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</si>
  <si>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</si>
  <si>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</si>
  <si>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</si>
  <si>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</si>
  <si>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</si>
  <si>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</si>
  <si>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</si>
  <si>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</si>
  <si>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</si>
  <si>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</si>
  <si>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</si>
  <si>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</si>
  <si>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</si>
  <si>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</si>
  <si>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</si>
  <si>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</si>
  <si>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</si>
  <si>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</si>
  <si>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</si>
  <si>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</si>
  <si>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</si>
  <si>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</si>
  <si>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</si>
  <si>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</si>
  <si>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</si>
  <si>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</si>
  <si>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</si>
  <si>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</si>
  <si>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</si>
  <si>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</si>
  <si>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</si>
  <si>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</si>
  <si>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</si>
  <si>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</si>
  <si>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</si>
  <si>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</si>
  <si>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</si>
  <si>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</si>
  <si>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</si>
  <si>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</si>
  <si>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</si>
  <si>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</si>
  <si>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</si>
  <si>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</si>
  <si>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</si>
  <si>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</si>
  <si>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</si>
  <si>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</si>
  <si>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</si>
  <si>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</si>
  <si>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</si>
  <si>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</si>
  <si>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</si>
  <si>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</si>
  <si>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</si>
  <si>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</si>
  <si>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</si>
  <si>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</si>
  <si>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</si>
  <si>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</si>
  <si>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</si>
  <si>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</si>
  <si>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</si>
  <si>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</si>
  <si>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</si>
  <si>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</si>
  <si>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</si>
  <si>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</si>
  <si>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</si>
  <si>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</si>
  <si>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</si>
  <si>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</si>
  <si>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</si>
  <si>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</si>
  <si>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</si>
  <si>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</si>
  <si>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</si>
  <si>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</si>
  <si>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</si>
  <si>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</si>
  <si>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</si>
  <si>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</si>
  <si>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</si>
  <si>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</si>
  <si>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</si>
  <si>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</si>
  <si>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</si>
  <si>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</si>
  <si>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</si>
  <si>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</si>
  <si>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</si>
  <si>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</si>
  <si>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</si>
  <si>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</si>
  <si>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</si>
  <si>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</si>
  <si>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</si>
  <si>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</si>
  <si>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</si>
  <si>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</si>
  <si>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</si>
  <si>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</si>
  <si>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</si>
  <si>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</si>
  <si>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</si>
  <si>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</si>
  <si>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</si>
  <si>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</si>
  <si>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</si>
  <si>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</si>
  <si>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</si>
  <si>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</si>
  <si>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</si>
  <si>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</si>
  <si>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</si>
  <si>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</si>
  <si>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</si>
  <si>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</si>
  <si>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</si>
  <si>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</si>
  <si>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</si>
  <si>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</si>
  <si>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</si>
  <si>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</si>
  <si>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</si>
  <si>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</si>
  <si>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</si>
  <si>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</si>
  <si>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</si>
  <si>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</si>
  <si>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</si>
  <si>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</si>
  <si>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</si>
  <si>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</si>
  <si>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</si>
  <si>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</si>
  <si>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</si>
  <si>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</si>
  <si>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</si>
  <si>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</si>
  <si>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</si>
  <si>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</si>
  <si>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</si>
  <si>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</si>
  <si>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</si>
  <si>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</si>
  <si>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</si>
  <si>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</si>
  <si>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</si>
  <si>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</si>
  <si>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</si>
  <si>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</si>
  <si>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</si>
  <si>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</si>
  <si>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</si>
  <si>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</si>
  <si>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</si>
  <si>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</si>
  <si>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</si>
  <si>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</si>
  <si>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</si>
  <si>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</si>
  <si>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</si>
  <si>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</si>
  <si>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</si>
  <si>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</si>
  <si>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</si>
  <si>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</si>
  <si>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</si>
  <si>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</si>
  <si>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</si>
  <si>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</si>
  <si>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</si>
  <si>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</si>
  <si>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</si>
  <si>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</si>
  <si>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</si>
  <si>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</si>
  <si>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</si>
  <si>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</si>
  <si>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</si>
  <si>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</si>
  <si>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</si>
  <si>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</si>
  <si>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</si>
  <si>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</si>
  <si>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</si>
  <si>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</si>
  <si>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</si>
  <si>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</si>
  <si>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</si>
  <si>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</si>
  <si>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</si>
  <si>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</si>
  <si>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</si>
  <si>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</si>
  <si>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</si>
  <si>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</si>
  <si>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</si>
  <si>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</si>
  <si>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</si>
  <si>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</si>
  <si>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</si>
  <si>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</si>
  <si>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</si>
  <si>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</si>
  <si>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</si>
  <si>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</si>
  <si>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</si>
  <si>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</si>
  <si>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</si>
  <si>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</si>
  <si>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</si>
  <si>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</si>
  <si>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</si>
  <si>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</si>
  <si>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</si>
  <si>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</si>
  <si>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</si>
  <si>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</si>
  <si>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</si>
  <si>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</si>
  <si>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</si>
  <si>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</si>
  <si>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</si>
  <si>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</si>
  <si>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</si>
  <si>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</si>
  <si>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</si>
  <si>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</si>
  <si>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</si>
  <si>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</si>
  <si>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</si>
  <si>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</si>
  <si>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</si>
  <si>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</si>
  <si>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</si>
  <si>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</si>
  <si>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</si>
  <si>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</si>
  <si>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</si>
  <si>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</si>
  <si>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</si>
  <si>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</si>
  <si>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</si>
  <si>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</si>
  <si>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</si>
  <si>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</si>
  <si>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</si>
  <si>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</si>
  <si>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</si>
  <si>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</si>
  <si>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</si>
  <si>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</si>
  <si>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</si>
  <si>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</si>
  <si>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</si>
  <si>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</si>
  <si>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</si>
  <si>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</si>
  <si>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</si>
  <si>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</si>
  <si>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</si>
  <si>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</si>
  <si>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</si>
  <si>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</si>
  <si>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</si>
  <si>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</si>
  <si>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</si>
  <si>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</si>
  <si>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</si>
  <si>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</si>
  <si>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</si>
  <si>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</si>
  <si>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</si>
  <si>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</si>
  <si>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</si>
  <si>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</si>
  <si>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</si>
  <si>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</si>
  <si>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</si>
  <si>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</si>
  <si>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</si>
  <si>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</si>
  <si>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</si>
  <si>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</si>
  <si>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</si>
  <si>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</si>
  <si>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</si>
  <si>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</si>
  <si>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</si>
  <si>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</si>
  <si>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</si>
  <si>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</si>
  <si>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</si>
  <si>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</si>
  <si>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</si>
  <si>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</si>
  <si>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</si>
  <si>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</si>
  <si>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</si>
  <si>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</si>
  <si>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</si>
  <si>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</si>
  <si>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</si>
  <si>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</si>
  <si>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</si>
  <si>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</si>
  <si>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</si>
  <si>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</si>
  <si>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</si>
  <si>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</si>
  <si>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</si>
  <si>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</si>
  <si>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</si>
  <si>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</si>
  <si>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</si>
  <si>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</si>
  <si>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</si>
  <si>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</si>
  <si>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</si>
  <si>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</si>
  <si>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</si>
  <si>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</si>
  <si>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</si>
  <si>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</si>
  <si>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</si>
  <si>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</si>
  <si>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</si>
  <si>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</si>
  <si>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</si>
  <si>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</si>
  <si>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</si>
  <si>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</si>
  <si>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</si>
  <si>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</si>
  <si>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</si>
  <si>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</si>
  <si>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</si>
  <si>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</si>
  <si>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</si>
  <si>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</si>
  <si>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</si>
  <si>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</si>
  <si>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</si>
  <si>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</si>
  <si>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</si>
  <si>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</si>
  <si>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</si>
  <si>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</si>
  <si>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</si>
  <si>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</si>
  <si>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</si>
  <si>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</si>
  <si>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</si>
  <si>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</si>
  <si>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</si>
  <si>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</si>
  <si>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</si>
  <si>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</si>
  <si>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</si>
  <si>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</si>
  <si>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</si>
  <si>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</si>
  <si>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</si>
  <si>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</si>
  <si>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</si>
  <si>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</si>
  <si>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</si>
  <si>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</si>
  <si>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</si>
  <si>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</si>
  <si>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</si>
  <si>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</si>
  <si>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</si>
  <si>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</si>
  <si>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</si>
  <si>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</si>
  <si>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</si>
  <si>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</si>
  <si>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</si>
  <si>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</si>
  <si>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</si>
  <si>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</si>
  <si>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</si>
  <si>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</si>
  <si>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</si>
  <si>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</si>
  <si>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</si>
  <si>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</si>
  <si>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</si>
  <si>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</si>
  <si>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</si>
  <si>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</si>
  <si>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</si>
  <si>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</si>
  <si>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</si>
  <si>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</si>
  <si>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</si>
  <si>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</si>
  <si>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</si>
  <si>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</si>
  <si>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</si>
  <si>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</si>
  <si>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</si>
  <si>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</si>
  <si>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</si>
  <si>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</si>
  <si>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</si>
  <si>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</si>
  <si>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</si>
  <si>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</si>
  <si>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</si>
  <si>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</si>
  <si>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</si>
  <si>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</si>
  <si>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</si>
  <si>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</si>
  <si>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</si>
  <si>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</si>
  <si>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</si>
  <si>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</si>
  <si>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</si>
  <si>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</si>
  <si>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</si>
  <si>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</si>
  <si>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</si>
  <si>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</si>
  <si>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</si>
  <si>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</si>
  <si>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</si>
  <si>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</si>
  <si>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</si>
  <si>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</si>
  <si>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</si>
  <si>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</si>
  <si>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</si>
  <si>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</si>
  <si>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</si>
  <si>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</si>
  <si>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</si>
  <si>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</si>
  <si>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</si>
  <si>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</si>
  <si>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</si>
  <si>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</si>
  <si>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</si>
  <si>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</si>
  <si>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</si>
  <si>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</si>
  <si>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</si>
  <si>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</si>
  <si>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</si>
  <si>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</si>
  <si>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</si>
  <si>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</si>
  <si>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</si>
  <si>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</si>
  <si>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</si>
  <si>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</si>
  <si>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</si>
  <si>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</si>
  <si>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</si>
  <si>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</si>
  <si>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</si>
  <si>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</si>
  <si>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</si>
  <si>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</si>
  <si>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</si>
  <si>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</si>
  <si>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</si>
  <si>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</si>
  <si>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</si>
  <si>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</si>
  <si>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</si>
  <si>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</si>
  <si>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</si>
  <si>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</si>
  <si>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</si>
  <si>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</si>
  <si>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</si>
  <si>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</si>
  <si>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</si>
  <si>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</si>
  <si>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</si>
  <si>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</si>
  <si>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</si>
  <si>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</si>
  <si>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</si>
  <si>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</si>
  <si>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</si>
  <si>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</si>
  <si>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</si>
  <si>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</si>
  <si>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</si>
  <si>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</si>
  <si>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</si>
  <si>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</si>
  <si>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</si>
  <si>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</si>
  <si>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</si>
  <si>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</si>
  <si>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</si>
  <si>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</si>
  <si>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</si>
  <si>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</si>
  <si>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</si>
  <si>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</si>
  <si>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</si>
  <si>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</si>
  <si>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</si>
  <si>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</si>
  <si>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</si>
  <si>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</si>
  <si>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</si>
  <si>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</si>
  <si>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</si>
  <si>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</si>
  <si>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</si>
  <si>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</si>
  <si>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</si>
  <si>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</si>
  <si>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</si>
  <si>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</si>
  <si>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</si>
  <si>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</si>
  <si>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</si>
  <si>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</si>
  <si>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</si>
  <si>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</si>
  <si>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</si>
  <si>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</si>
  <si>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</si>
  <si>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</si>
  <si>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</si>
  <si>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</si>
  <si>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</si>
  <si>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</si>
  <si>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</si>
  <si>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</si>
  <si>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</si>
  <si>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</si>
  <si>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</si>
  <si>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</si>
  <si>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</si>
  <si>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</si>
  <si>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</si>
  <si>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</si>
  <si>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</si>
  <si>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</si>
  <si>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</si>
  <si>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</si>
  <si>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</si>
  <si>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</si>
  <si>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</si>
  <si>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</si>
  <si>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</si>
  <si>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</si>
  <si>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</si>
  <si>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</si>
  <si>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</si>
  <si>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</si>
  <si>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</si>
  <si>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</si>
  <si>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</si>
  <si>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</si>
  <si>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</si>
  <si>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</si>
  <si>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</si>
  <si>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</si>
  <si>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</si>
  <si>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</si>
  <si>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</si>
  <si>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</si>
  <si>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</si>
  <si>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</si>
  <si>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</si>
  <si>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</si>
  <si>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</si>
  <si>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</si>
  <si>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</si>
  <si>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</si>
  <si>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</si>
  <si>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</si>
  <si>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</si>
  <si>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</si>
  <si>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</si>
  <si>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</si>
  <si>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</si>
  <si>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</si>
  <si>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</si>
  <si>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</si>
  <si>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</si>
  <si>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</si>
  <si>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</si>
  <si>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</si>
  <si>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</si>
  <si>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</si>
  <si>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</si>
  <si>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</si>
  <si>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</si>
  <si>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</si>
  <si>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</si>
  <si>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</si>
  <si>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</si>
  <si>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</si>
  <si>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</si>
  <si>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</si>
  <si>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</si>
  <si>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</si>
  <si>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</si>
  <si>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</si>
  <si>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</si>
  <si>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</si>
  <si>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</si>
  <si>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</si>
  <si>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</si>
  <si>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</si>
  <si>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</si>
  <si>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</si>
  <si>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</si>
  <si>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</si>
  <si>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</si>
  <si>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</si>
  <si>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</si>
  <si>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</si>
  <si>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</si>
  <si>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</si>
  <si>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</si>
  <si>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</si>
  <si>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</si>
  <si>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</si>
  <si>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</si>
  <si>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</si>
  <si>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</si>
  <si>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</si>
  <si>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</si>
  <si>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</si>
  <si>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</si>
  <si>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</si>
  <si>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</si>
  <si>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</si>
  <si>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</si>
  <si>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</si>
  <si>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</si>
  <si>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</si>
  <si>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</si>
  <si>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</si>
  <si>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</si>
  <si>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</si>
  <si>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</si>
  <si>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</si>
  <si>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</si>
  <si>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</si>
  <si>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</si>
  <si>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</si>
  <si>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</si>
  <si>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</si>
  <si>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</si>
  <si>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</si>
  <si>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</si>
  <si>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</si>
  <si>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</si>
  <si>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</si>
  <si>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</si>
  <si>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</si>
  <si>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</si>
  <si>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</si>
  <si>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</si>
  <si>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</si>
  <si>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</si>
  <si>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</si>
  <si>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</si>
  <si>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</si>
  <si>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</si>
  <si>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</si>
  <si>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</si>
  <si>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</si>
  <si>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</si>
  <si>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</si>
  <si>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</si>
  <si>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</si>
  <si>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</si>
  <si>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</si>
  <si>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</si>
  <si>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</si>
  <si>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</si>
  <si>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</si>
  <si>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</si>
  <si>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</si>
  <si>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</si>
  <si>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</si>
  <si>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</si>
  <si>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</si>
  <si>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</si>
  <si>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</si>
  <si>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</si>
  <si>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</si>
  <si>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</si>
  <si>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</si>
  <si>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</si>
  <si>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</si>
  <si>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</si>
  <si>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</si>
  <si>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</si>
  <si>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</si>
  <si>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</si>
  <si>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</si>
  <si>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</si>
  <si>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</si>
  <si>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</si>
  <si>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</si>
  <si>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</si>
  <si>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</si>
  <si>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</si>
  <si>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</si>
  <si>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</si>
  <si>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</si>
  <si>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</si>
  <si>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</si>
  <si>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</si>
  <si>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</si>
  <si>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</si>
  <si>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</si>
  <si>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</si>
  <si>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</si>
  <si>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</si>
  <si>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</si>
  <si>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</si>
  <si>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</si>
  <si>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</si>
  <si>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</si>
  <si>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</si>
  <si>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</si>
  <si>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</si>
  <si>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</si>
  <si>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</si>
  <si>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</si>
  <si>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</si>
  <si>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</si>
  <si>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</si>
  <si>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</si>
  <si>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</si>
  <si>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</si>
  <si>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</si>
  <si>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</si>
  <si>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</si>
  <si>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</si>
  <si>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</si>
  <si>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</si>
  <si>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</si>
  <si>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</si>
  <si>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</si>
  <si>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</si>
  <si>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</si>
  <si>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</si>
  <si>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</si>
  <si>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</si>
  <si>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</si>
  <si>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</si>
  <si>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</si>
  <si>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</si>
  <si>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</si>
  <si>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</si>
  <si>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</si>
  <si>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</si>
  <si>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</si>
  <si>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</si>
  <si>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</si>
  <si>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</si>
  <si>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</si>
  <si>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</si>
  <si>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</si>
  <si>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</si>
  <si>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</si>
  <si>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</si>
  <si>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</si>
  <si>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</si>
  <si>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</si>
  <si>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</si>
  <si>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</si>
  <si>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</si>
  <si>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</si>
  <si>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</si>
  <si>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</si>
  <si>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</si>
  <si>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</si>
  <si>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</si>
  <si>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</si>
  <si>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</si>
  <si>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</si>
  <si>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</si>
  <si>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</si>
  <si>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</si>
  <si>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</si>
  <si>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</si>
  <si>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</si>
  <si>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</si>
  <si>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</si>
  <si>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</si>
  <si>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</si>
  <si>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</si>
  <si>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</si>
  <si>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</si>
  <si>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</si>
  <si>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</si>
  <si>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</si>
  <si>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</si>
  <si>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</si>
  <si>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</si>
  <si>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</si>
  <si>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</si>
  <si>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</si>
  <si>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</si>
  <si>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</si>
  <si>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</si>
  <si>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</si>
  <si>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</si>
  <si>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</si>
  <si>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</si>
  <si>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</si>
  <si>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</si>
  <si>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</si>
  <si>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</si>
  <si>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</si>
  <si>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</si>
  <si>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</si>
  <si>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</si>
  <si>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</si>
  <si>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</si>
  <si>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</si>
  <si>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</si>
  <si>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</si>
  <si>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</si>
  <si>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</si>
  <si>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</si>
  <si>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</si>
  <si>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</si>
  <si>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</si>
  <si>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</si>
  <si>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</si>
  <si>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</si>
  <si>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</si>
  <si>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</si>
  <si>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</si>
  <si>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</si>
  <si>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</si>
  <si>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</si>
  <si>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</si>
  <si>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</si>
  <si>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</si>
  <si>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</si>
  <si>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</si>
  <si>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</si>
  <si>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</si>
  <si>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</si>
  <si>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</si>
  <si>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</si>
  <si>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</si>
  <si>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</si>
  <si>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</si>
  <si>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</si>
  <si>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</si>
  <si>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</si>
  <si>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</si>
  <si>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</si>
  <si>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</si>
  <si>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</si>
  <si>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</si>
  <si>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</si>
  <si>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</si>
  <si>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</si>
  <si>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</si>
  <si>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</si>
  <si>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</si>
  <si>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</si>
  <si>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</si>
  <si>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</si>
  <si>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</si>
  <si>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</si>
  <si>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</si>
  <si>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</si>
  <si>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</si>
  <si>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</si>
  <si>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</si>
  <si>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</si>
  <si>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</si>
  <si>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</si>
  <si>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</si>
  <si>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</si>
  <si>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</si>
  <si>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</si>
  <si>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</si>
  <si>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</si>
  <si>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</si>
  <si>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</si>
  <si>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</si>
  <si>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</si>
  <si>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</si>
  <si>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</si>
  <si>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</si>
  <si>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</si>
  <si>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</si>
  <si>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</si>
  <si>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</si>
  <si>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</si>
  <si>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</si>
  <si>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</si>
  <si>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</si>
  <si>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</si>
  <si>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</si>
  <si>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</si>
  <si>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</si>
  <si>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</si>
  <si>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</si>
  <si>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</si>
  <si>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</si>
  <si>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</si>
  <si>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</si>
  <si>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</si>
  <si>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</si>
  <si>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</si>
  <si>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</si>
  <si>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</si>
  <si>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</si>
  <si>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</si>
  <si>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</si>
  <si>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</si>
  <si>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</si>
  <si>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</si>
  <si>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</si>
  <si>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</si>
  <si>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</si>
  <si>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</si>
  <si>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</si>
  <si>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</si>
  <si>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</si>
  <si>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</si>
  <si>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</si>
  <si>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</si>
  <si>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</si>
  <si>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</si>
  <si>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</si>
  <si>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</si>
  <si>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</si>
  <si>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</si>
  <si>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</si>
  <si>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</si>
  <si>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</si>
  <si>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</si>
  <si>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</si>
  <si>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</si>
  <si>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</si>
  <si>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</si>
  <si>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</si>
  <si>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</si>
  <si>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</si>
  <si>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</si>
  <si>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</si>
  <si>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</si>
  <si>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</si>
  <si>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</si>
  <si>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</si>
  <si>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</si>
  <si>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</si>
  <si>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</si>
  <si>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</si>
  <si>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</si>
  <si>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</si>
  <si>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</si>
  <si>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</si>
  <si>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</si>
  <si>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</si>
  <si>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</si>
  <si>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</si>
  <si>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</si>
  <si>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</si>
  <si>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</si>
  <si>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</si>
  <si>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</si>
  <si>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</si>
  <si>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</si>
  <si>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</si>
  <si>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</si>
  <si>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</si>
  <si>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</si>
  <si>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</si>
  <si>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</si>
  <si>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</si>
  <si>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</si>
  <si>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</si>
  <si>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</si>
  <si>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</si>
  <si>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</si>
  <si>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</si>
  <si>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</si>
  <si>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</si>
  <si>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</si>
  <si>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</si>
  <si>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</si>
  <si>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</si>
  <si>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</si>
  <si>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</si>
  <si>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</si>
  <si>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</si>
  <si>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</si>
  <si>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</si>
  <si>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</si>
  <si>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</si>
  <si>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</si>
  <si>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</si>
  <si>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</si>
  <si>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</si>
  <si>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</si>
  <si>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</si>
  <si>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</si>
  <si>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</si>
  <si>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</si>
  <si>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</si>
  <si>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</si>
  <si>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</si>
  <si>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</si>
  <si>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</si>
  <si>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</si>
  <si>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</si>
  <si>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</si>
  <si>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</si>
  <si>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</si>
  <si>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</si>
  <si>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</si>
  <si>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</si>
  <si>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</si>
  <si>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</si>
  <si>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</si>
  <si>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</si>
  <si>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</si>
  <si>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</si>
  <si>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</si>
  <si>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</si>
  <si>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</si>
  <si>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</si>
  <si>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</si>
  <si>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</si>
  <si>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</si>
  <si>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</si>
  <si>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</si>
  <si>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</si>
  <si>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</si>
  <si>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</si>
  <si>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</si>
  <si>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</si>
  <si>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</si>
  <si>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</si>
  <si>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</si>
  <si>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</si>
  <si>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</si>
  <si>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</si>
  <si>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</si>
  <si>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</si>
  <si>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</si>
  <si>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</si>
  <si>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</si>
  <si>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</si>
  <si>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</si>
  <si>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</si>
  <si>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</si>
  <si>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</si>
  <si>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</si>
  <si>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</si>
  <si>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</si>
  <si>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</si>
  <si>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</si>
  <si>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</si>
  <si>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</si>
  <si>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</si>
  <si>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</si>
  <si>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</si>
  <si>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</si>
  <si>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</si>
  <si>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</si>
  <si>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</si>
  <si>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</si>
  <si>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</si>
  <si>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</si>
  <si>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</si>
  <si>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</si>
  <si>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</si>
  <si>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</si>
  <si>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</si>
  <si>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</si>
  <si>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</si>
  <si>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</si>
  <si>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</si>
  <si>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</si>
  <si>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</si>
  <si>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</si>
  <si>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</si>
  <si>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</si>
  <si>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</si>
  <si>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</si>
  <si>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</si>
  <si>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</si>
  <si>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</si>
  <si>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</si>
  <si>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</si>
  <si>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</si>
  <si>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</si>
  <si>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</si>
  <si>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</si>
  <si>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</si>
  <si>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</si>
  <si>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</si>
  <si>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</si>
  <si>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</si>
  <si>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</si>
  <si>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</si>
  <si>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</si>
  <si>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</si>
  <si>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</si>
  <si>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</si>
  <si>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</si>
  <si>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</si>
  <si>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</si>
  <si>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</si>
  <si>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</si>
  <si>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</si>
  <si>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</si>
  <si>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</si>
  <si>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</si>
  <si>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</si>
  <si>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</si>
  <si>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</si>
  <si>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</si>
  <si>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</si>
  <si>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</si>
  <si>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</si>
  <si>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</si>
  <si>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</si>
  <si>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</si>
  <si>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</si>
  <si>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</si>
  <si>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</si>
  <si>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</si>
  <si>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</si>
  <si>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</si>
  <si>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</si>
  <si>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</si>
  <si>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</si>
  <si>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</si>
  <si>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</si>
  <si>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</si>
  <si>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</si>
  <si>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</si>
  <si>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</si>
  <si>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</si>
  <si>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</si>
  <si>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</si>
  <si>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</si>
  <si>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</si>
  <si>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</si>
  <si>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</si>
  <si>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</si>
  <si>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</si>
  <si>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</si>
  <si>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</si>
  <si>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</si>
  <si>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</si>
  <si>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</si>
  <si>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</si>
  <si>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</si>
  <si>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</si>
  <si>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</si>
  <si>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</si>
  <si>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</si>
  <si>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</si>
  <si>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</si>
  <si>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</si>
  <si>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</si>
  <si>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</si>
  <si>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</si>
  <si>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</si>
  <si>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</si>
  <si>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</si>
  <si>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</si>
  <si>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</si>
  <si>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</si>
  <si>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</si>
  <si>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</si>
  <si>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</si>
  <si>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</si>
  <si>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</si>
  <si>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</si>
  <si>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</si>
  <si>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</si>
  <si>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</si>
  <si>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</si>
  <si>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</si>
  <si>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</si>
  <si>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</si>
  <si>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</si>
  <si>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</si>
  <si>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</si>
  <si>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</si>
  <si>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</si>
  <si>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</si>
  <si>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</si>
  <si>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</si>
  <si>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</si>
  <si>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</si>
  <si>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</si>
  <si>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</si>
  <si>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</si>
  <si>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</si>
  <si>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</si>
  <si>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</si>
  <si>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</si>
  <si>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</si>
  <si>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</si>
  <si>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</si>
  <si>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</si>
  <si>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</si>
  <si>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</si>
  <si>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</si>
  <si>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</si>
  <si>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</si>
  <si>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</si>
  <si>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</si>
  <si>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</si>
  <si>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</si>
  <si>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</si>
  <si>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</si>
  <si>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</si>
  <si>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</si>
  <si>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</si>
  <si>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</si>
  <si>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</si>
  <si>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</si>
  <si>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</si>
  <si>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</si>
  <si>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</si>
  <si>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</si>
  <si>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</si>
  <si>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</si>
  <si>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</si>
  <si>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</si>
  <si>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</si>
  <si>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</si>
  <si>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</si>
  <si>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</si>
  <si>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</si>
  <si>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</si>
  <si>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</si>
  <si>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</si>
  <si>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</si>
  <si>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</si>
  <si>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</si>
  <si>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</si>
  <si>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</si>
  <si>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</si>
  <si>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</si>
  <si>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</si>
  <si>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</si>
  <si>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</si>
  <si>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</si>
  <si>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</si>
  <si>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</si>
  <si>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</si>
  <si>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</si>
  <si>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</si>
  <si>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</si>
  <si>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</si>
  <si>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</si>
  <si>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</si>
  <si>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</si>
  <si>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</si>
  <si>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</si>
  <si>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</si>
  <si>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</si>
  <si>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</si>
  <si>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</si>
  <si>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</si>
  <si>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</si>
  <si>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</si>
  <si>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</si>
  <si>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</si>
  <si>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</si>
  <si>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</si>
  <si>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</si>
  <si>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</si>
  <si>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</si>
  <si>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</si>
  <si>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</si>
  <si>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</si>
  <si>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</si>
  <si>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</si>
  <si>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</si>
  <si>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</si>
  <si>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</si>
  <si>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</si>
  <si>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</si>
  <si>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</si>
  <si>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</si>
  <si>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</si>
  <si>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</si>
  <si>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</si>
  <si>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</si>
  <si>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</si>
  <si>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</si>
  <si>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</si>
  <si>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</si>
  <si>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</si>
  <si>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</si>
  <si>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</si>
  <si>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</si>
  <si>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</si>
  <si>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</si>
  <si>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</si>
  <si>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</si>
  <si>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</si>
  <si>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</si>
  <si>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</si>
  <si>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</si>
  <si>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</si>
  <si>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</si>
  <si>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</si>
  <si>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</si>
  <si>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</si>
  <si>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</si>
  <si>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</si>
  <si>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</si>
  <si>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</si>
  <si>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</si>
  <si>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</si>
  <si>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</si>
  <si>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</si>
  <si>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</si>
  <si>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</si>
  <si>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</si>
  <si>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</si>
  <si>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</si>
  <si>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</si>
  <si>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</si>
  <si>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</si>
  <si>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</si>
  <si>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</si>
  <si>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</si>
  <si>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</si>
  <si>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</si>
  <si>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</si>
  <si>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</si>
  <si>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</si>
  <si>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</si>
  <si>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</si>
  <si>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</si>
  <si>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</si>
  <si>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</si>
  <si>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</si>
  <si>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</si>
  <si>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</si>
  <si>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</si>
  <si>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</si>
  <si>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</si>
  <si>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</si>
  <si>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</si>
  <si>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</si>
  <si>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</si>
  <si>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</si>
  <si>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</si>
  <si>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</si>
  <si>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</si>
  <si>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</si>
  <si>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</si>
  <si>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</si>
  <si>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</si>
  <si>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</si>
  <si>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</si>
  <si>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</si>
  <si>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</si>
  <si>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</si>
  <si>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</si>
  <si>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</si>
  <si>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</si>
  <si>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</si>
  <si>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</si>
  <si>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</si>
  <si>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</si>
  <si>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</si>
  <si>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</si>
  <si>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</si>
  <si>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</si>
  <si>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</si>
  <si>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</si>
  <si>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</si>
  <si>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</si>
  <si>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</si>
  <si>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</si>
  <si>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</si>
  <si>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</si>
  <si>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</si>
  <si>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</si>
  <si>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</si>
  <si>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</si>
  <si>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</si>
  <si>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</si>
  <si>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</si>
  <si>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</si>
  <si>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</si>
  <si>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</si>
  <si>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</si>
  <si>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</si>
  <si>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</si>
  <si>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</si>
  <si>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</si>
  <si>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</si>
  <si>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</si>
  <si>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</si>
  <si>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</si>
  <si>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</si>
  <si>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</si>
  <si>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</si>
  <si>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</si>
  <si>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</si>
  <si>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</si>
  <si>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</si>
  <si>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</si>
  <si>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</si>
  <si>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</si>
  <si>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</si>
  <si>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</si>
  <si>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</si>
  <si>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</si>
  <si>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</si>
  <si>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</si>
  <si>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</si>
  <si>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</si>
  <si>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</si>
  <si>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</si>
  <si>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</si>
  <si>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</si>
  <si>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</si>
  <si>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</si>
  <si>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</si>
  <si>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</si>
  <si>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</si>
  <si>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</si>
  <si>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</si>
  <si>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</si>
  <si>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</si>
  <si>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</si>
  <si>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</si>
  <si>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</si>
  <si>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</si>
  <si>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</si>
  <si>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</si>
  <si>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</si>
  <si>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</si>
  <si>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</si>
  <si>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</si>
  <si>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</si>
  <si>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</si>
  <si>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</si>
  <si>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</si>
  <si>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</si>
  <si>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</si>
  <si>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</si>
  <si>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</si>
  <si>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</si>
  <si>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</si>
  <si>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</si>
  <si>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</si>
  <si>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</si>
  <si>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</si>
  <si>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</si>
  <si>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</si>
  <si>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</si>
  <si>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</si>
  <si>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</si>
  <si>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</si>
  <si>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</si>
  <si>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</si>
  <si>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</si>
  <si>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</si>
  <si>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</si>
  <si>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</si>
  <si>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</si>
  <si>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</si>
  <si>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</si>
  <si>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</si>
  <si>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</si>
  <si>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</si>
  <si>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</si>
  <si>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</si>
  <si>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</si>
  <si>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</si>
  <si>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</si>
  <si>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</si>
  <si>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</si>
  <si>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</si>
  <si>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</si>
  <si>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</si>
  <si>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</si>
  <si>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</si>
  <si>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</si>
  <si>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</si>
  <si>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</si>
  <si>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</si>
  <si>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</si>
  <si>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</si>
  <si>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</si>
  <si>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</si>
  <si>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</si>
  <si>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</si>
  <si>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</si>
  <si>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</si>
  <si>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</si>
  <si>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</si>
  <si>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</si>
  <si>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</si>
  <si>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</si>
  <si>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</si>
  <si>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</si>
  <si>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</si>
  <si>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</si>
  <si>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</si>
  <si>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</si>
  <si>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</si>
  <si>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</si>
  <si>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</si>
  <si>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</si>
  <si>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</si>
  <si>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</si>
  <si>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</si>
  <si>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</si>
  <si>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</si>
  <si>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</si>
  <si>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</si>
  <si>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</si>
  <si>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</si>
  <si>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</si>
  <si>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</si>
  <si>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</si>
  <si>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</si>
  <si>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</si>
  <si>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</si>
  <si>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</si>
  <si>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</si>
  <si>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</si>
  <si>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</si>
  <si>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</si>
  <si>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</si>
  <si>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</si>
  <si>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</si>
  <si>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</si>
  <si>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</si>
  <si>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</si>
  <si>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</si>
  <si>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</si>
  <si>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</si>
  <si>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</si>
  <si>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</si>
  <si>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</si>
  <si>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</si>
  <si>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</si>
  <si>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</si>
  <si>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</si>
  <si>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</si>
  <si>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</si>
  <si>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</si>
  <si>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</si>
  <si>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</si>
  <si>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</si>
  <si>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</si>
  <si>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</si>
  <si>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</si>
  <si>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</si>
  <si>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</si>
  <si>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</si>
  <si>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</si>
  <si>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</si>
  <si>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</si>
  <si>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</si>
  <si>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</si>
  <si>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</si>
  <si>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</si>
  <si>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</si>
  <si>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</si>
  <si>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</si>
  <si>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</si>
  <si>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</si>
  <si>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</si>
  <si>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</si>
  <si>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</si>
  <si>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</si>
  <si>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</si>
  <si>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</si>
  <si>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</si>
  <si>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</si>
  <si>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</si>
  <si>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</si>
  <si>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</si>
  <si>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</si>
  <si>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</si>
  <si>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</si>
  <si>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</si>
  <si>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</si>
  <si>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</si>
  <si>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</si>
  <si>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</si>
  <si>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</si>
  <si>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</si>
  <si>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</si>
  <si>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</si>
  <si>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</si>
  <si>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</si>
  <si>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</si>
  <si>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</si>
  <si>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</si>
  <si>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</si>
  <si>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</si>
  <si>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</si>
  <si>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</si>
  <si>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</si>
  <si>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</si>
  <si>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</si>
  <si>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</si>
  <si>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</si>
  <si>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</si>
  <si>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</si>
  <si>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</si>
  <si>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</si>
  <si>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</si>
  <si>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</si>
  <si>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</si>
  <si>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</si>
  <si>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</si>
  <si>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</si>
  <si>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</si>
  <si>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</si>
  <si>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</si>
  <si>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</si>
  <si>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</si>
  <si>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</si>
  <si>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</si>
  <si>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</si>
  <si>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</si>
  <si>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</si>
  <si>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</si>
  <si>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</si>
  <si>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</si>
  <si>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</si>
  <si>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</si>
  <si>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</si>
  <si>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</si>
  <si>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</si>
  <si>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</si>
  <si>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</si>
  <si>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</si>
  <si>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</si>
  <si>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</si>
  <si>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</si>
  <si>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</si>
  <si>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</si>
  <si>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</si>
  <si>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</si>
  <si>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</si>
  <si>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</si>
  <si>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</si>
  <si>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</si>
  <si>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</si>
  <si>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</si>
  <si>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</si>
  <si>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</si>
  <si>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</si>
  <si>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</si>
  <si>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</si>
  <si>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</si>
  <si>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</si>
  <si>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</si>
  <si>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</si>
  <si>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</si>
  <si>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</si>
  <si>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</si>
  <si>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</si>
  <si>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</si>
  <si>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</si>
  <si>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</si>
  <si>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</si>
  <si>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</si>
  <si>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</si>
  <si>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</si>
  <si>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</si>
  <si>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</si>
  <si>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</si>
  <si>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</si>
  <si>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</si>
  <si>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</si>
  <si>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</si>
  <si>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</si>
  <si>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</si>
  <si>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</si>
  <si>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</si>
  <si>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</si>
  <si>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</si>
  <si>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</si>
  <si>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</si>
  <si>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</si>
  <si>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</si>
  <si>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</si>
  <si>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</si>
  <si>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</si>
  <si>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</si>
  <si>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</si>
  <si>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</si>
  <si>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</si>
  <si>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</si>
  <si>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</si>
  <si>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</si>
  <si>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</si>
  <si>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</si>
  <si>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</si>
  <si>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</si>
  <si>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</si>
  <si>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</si>
  <si>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</si>
  <si>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</si>
  <si>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</si>
  <si>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</si>
  <si>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</si>
  <si>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</si>
  <si>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</si>
  <si>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</si>
  <si>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</si>
  <si>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</si>
  <si>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</si>
  <si>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</si>
  <si>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</si>
  <si>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</si>
  <si>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</si>
  <si>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</si>
  <si>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</si>
  <si>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</si>
  <si>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</si>
  <si>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</si>
  <si>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</si>
  <si>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</si>
  <si>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</si>
  <si>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</si>
  <si>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</si>
  <si>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</si>
  <si>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</si>
  <si>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</si>
  <si>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</si>
  <si>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</si>
  <si>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</si>
  <si>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</si>
  <si>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</si>
  <si>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</si>
  <si>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</si>
  <si>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</si>
  <si>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</si>
  <si>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</si>
  <si>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</si>
  <si>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</si>
  <si>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</si>
  <si>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</si>
  <si>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</si>
  <si>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</si>
  <si>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</si>
  <si>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</si>
  <si>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</si>
  <si>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</si>
  <si>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</si>
  <si>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</si>
  <si>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</si>
  <si>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</si>
  <si>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</si>
  <si>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</si>
  <si>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</si>
  <si>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</si>
  <si>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</si>
  <si>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</si>
  <si>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</si>
  <si>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</si>
  <si>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</si>
  <si>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</si>
  <si>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</si>
  <si>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</si>
  <si>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</si>
  <si>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</si>
  <si>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</si>
  <si>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</si>
  <si>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</si>
  <si>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</si>
  <si>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</si>
  <si>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</si>
  <si>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</si>
  <si>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</si>
  <si>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</si>
  <si>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</si>
  <si>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</si>
  <si>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</si>
  <si>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</si>
  <si>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</si>
  <si>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</si>
  <si>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</si>
  <si>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</si>
  <si>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</si>
  <si>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</si>
  <si>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</si>
  <si>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</si>
  <si>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</si>
  <si>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</si>
  <si>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</si>
  <si>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</si>
  <si>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</si>
  <si>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</si>
  <si>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</si>
  <si>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</si>
  <si>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</si>
  <si>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</si>
  <si>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</si>
  <si>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</si>
  <si>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</si>
  <si>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</si>
  <si>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</si>
  <si>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</si>
  <si>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</si>
  <si>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</si>
  <si>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</si>
  <si>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</si>
  <si>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</si>
  <si>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</si>
  <si>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</si>
  <si>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</si>
  <si>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</si>
  <si>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</si>
  <si>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</si>
  <si>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</si>
  <si>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</si>
  <si>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</si>
  <si>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</si>
  <si>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</si>
  <si>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</si>
  <si>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</si>
  <si>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</si>
  <si>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</si>
  <si>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</si>
  <si>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</si>
  <si>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</si>
  <si>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</si>
  <si>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</si>
  <si>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</si>
  <si>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</si>
  <si>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</si>
  <si>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</si>
  <si>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</si>
  <si>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</si>
  <si>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</si>
  <si>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</si>
  <si>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</si>
  <si>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</si>
  <si>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</si>
  <si>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</si>
  <si>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</si>
  <si>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</si>
  <si>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</si>
  <si>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</si>
  <si>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</si>
  <si>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</si>
  <si>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</si>
  <si>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</si>
  <si>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</si>
  <si>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</si>
  <si>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</si>
  <si>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</si>
  <si>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</si>
  <si>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</si>
  <si>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</si>
  <si>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</si>
  <si>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</si>
  <si>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</si>
  <si>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</si>
  <si>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</si>
  <si>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</si>
  <si>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</si>
  <si>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</si>
  <si>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</si>
  <si>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</si>
  <si>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</si>
  <si>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</si>
  <si>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</si>
  <si>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</si>
  <si>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</si>
  <si>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</si>
  <si>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</si>
  <si>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</si>
  <si>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</si>
  <si>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</si>
  <si>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</si>
  <si>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</si>
  <si>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</si>
  <si>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</si>
  <si>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</si>
  <si>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</si>
  <si>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</si>
  <si>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</si>
  <si>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</si>
  <si>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</si>
  <si>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</si>
  <si>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</si>
  <si>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</si>
  <si>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</si>
  <si>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</si>
  <si>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</si>
  <si>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</si>
  <si>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</si>
  <si>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</si>
  <si>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</si>
  <si>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</si>
  <si>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</si>
  <si>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</si>
  <si>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</si>
  <si>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</si>
  <si>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</si>
  <si>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</si>
  <si>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</si>
  <si>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</si>
  <si>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</si>
  <si>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</si>
  <si>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</si>
  <si>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</si>
  <si>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</si>
  <si>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</si>
  <si>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</si>
  <si>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</si>
  <si>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</si>
  <si>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</si>
  <si>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</si>
  <si>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</si>
  <si>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</si>
  <si>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</si>
  <si>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</si>
  <si>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</si>
  <si>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</si>
  <si>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</si>
  <si>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</si>
  <si>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</si>
  <si>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</si>
  <si>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</si>
  <si>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</si>
  <si>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</si>
  <si>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</si>
  <si>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</si>
  <si>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</si>
  <si>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</si>
  <si>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</si>
  <si>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</si>
  <si>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</si>
  <si>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</si>
  <si>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</si>
  <si>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</si>
  <si>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</si>
  <si>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</si>
  <si>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</si>
  <si>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</si>
  <si>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</si>
  <si>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</si>
  <si>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</si>
  <si>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</si>
  <si>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</si>
  <si>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</si>
  <si>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</si>
  <si>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</si>
  <si>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</si>
  <si>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</si>
  <si>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</si>
  <si>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</si>
  <si>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</si>
  <si>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</si>
  <si>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</si>
  <si>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</si>
  <si>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</si>
  <si>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</si>
  <si>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</si>
  <si>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</si>
  <si>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</si>
  <si>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</si>
  <si>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</si>
  <si>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</si>
  <si>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</si>
  <si>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</si>
  <si>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</si>
  <si>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</si>
  <si>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</si>
  <si>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</si>
  <si>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</si>
  <si>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</si>
  <si>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</si>
  <si>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</si>
  <si>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</si>
  <si>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</si>
  <si>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</si>
  <si>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</si>
  <si>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</si>
  <si>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</si>
  <si>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</si>
  <si>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</si>
  <si>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</si>
  <si>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</si>
  <si>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</si>
  <si>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</si>
  <si>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</si>
  <si>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</si>
  <si>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</si>
  <si>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</si>
  <si>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</si>
  <si>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</si>
  <si>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</si>
  <si>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</si>
  <si>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</si>
  <si>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</si>
  <si>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</si>
  <si>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</si>
  <si>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</si>
  <si>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</si>
  <si>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</si>
  <si>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</si>
  <si>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</si>
  <si>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</si>
  <si>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</si>
  <si>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</si>
  <si>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</si>
  <si>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</si>
  <si>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</si>
  <si>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</si>
  <si>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</si>
  <si>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</si>
  <si>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</si>
  <si>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</si>
  <si>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</si>
  <si>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</si>
  <si>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</si>
  <si>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</si>
  <si>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</si>
  <si>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</si>
  <si>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</si>
  <si>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</si>
  <si>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</si>
  <si>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</si>
  <si>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</si>
  <si>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</si>
  <si>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</si>
  <si>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</si>
  <si>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</si>
  <si>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</si>
  <si>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</si>
  <si>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</si>
  <si>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</si>
  <si>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</si>
  <si>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</si>
  <si>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</si>
  <si>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</si>
  <si>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</si>
  <si>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</si>
  <si>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</si>
  <si>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</si>
  <si>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</si>
  <si>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</si>
  <si>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</si>
  <si>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</si>
  <si>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</si>
  <si>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</si>
  <si>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</si>
  <si>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</si>
  <si>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</si>
  <si>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</si>
  <si>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</si>
  <si>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</si>
  <si>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</si>
  <si>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</si>
  <si>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</si>
  <si>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</si>
  <si>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</si>
  <si>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</si>
  <si>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</si>
  <si>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</si>
  <si>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</si>
  <si>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</si>
  <si>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</si>
  <si>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</si>
  <si>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</si>
  <si>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</si>
  <si>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</si>
  <si>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</si>
  <si>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</si>
  <si>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</si>
  <si>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</si>
  <si>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</si>
  <si>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</si>
  <si>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</si>
  <si>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</si>
  <si>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</si>
  <si>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بدهی به داریوش 19/9/97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</si>
  <si>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</si>
  <si>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</si>
  <si>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</si>
  <si>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</si>
  <si>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</si>
  <si>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</si>
  <si>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</si>
  <si>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</si>
  <si>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</si>
  <si>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</si>
  <si>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</si>
  <si>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</si>
  <si>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</si>
  <si>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</si>
  <si>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</si>
  <si>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</si>
  <si>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</si>
  <si>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</si>
  <si>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شنبه 24/9 حدود 1.200.000 سهام بفروش</t>
  </si>
  <si>
    <t>24/9/1397</t>
  </si>
  <si>
    <t>وغدیر 10000 تا متوسط 168.5</t>
  </si>
  <si>
    <t>وغدیر 4000 تا متوسط 167.8</t>
  </si>
  <si>
    <t>سکه9912 تعداد 10 قیمت 361000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</si>
</sst>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0" fillId="15" borderId="0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7" workbookViewId="0">
      <selection activeCell="F25" sqref="F25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4454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4462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4465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4475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4482</v>
      </c>
      <c r="B6" s="18">
        <v>3000000</v>
      </c>
      <c r="C6" s="18">
        <v>0</v>
      </c>
      <c r="D6" s="113">
        <f t="shared" si="0"/>
        <v>3000000</v>
      </c>
      <c r="E6" s="19" t="s">
        <v>4483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4474</v>
      </c>
      <c r="B7" s="18">
        <v>-2000700</v>
      </c>
      <c r="C7" s="18">
        <v>0</v>
      </c>
      <c r="D7" s="113">
        <f t="shared" si="0"/>
        <v>-2000700</v>
      </c>
      <c r="E7" s="19" t="s">
        <v>4514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4474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4474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4474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4523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4523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4532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4543</v>
      </c>
      <c r="B16" s="18">
        <v>12000000</v>
      </c>
      <c r="C16" s="18">
        <v>0</v>
      </c>
      <c r="D16" s="113">
        <f t="shared" si="0"/>
        <v>12000000</v>
      </c>
      <c r="E16" s="20" t="s">
        <v>4544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4545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4547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4550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4550</v>
      </c>
      <c r="B20" s="18">
        <v>0</v>
      </c>
      <c r="C20" s="18">
        <v>-8034286</v>
      </c>
      <c r="D20" s="113">
        <f t="shared" si="0"/>
        <v>8034286</v>
      </c>
      <c r="E20" s="19" t="s">
        <v>4554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4550</v>
      </c>
      <c r="B21" s="18">
        <v>-10000</v>
      </c>
      <c r="C21" s="18">
        <v>0</v>
      </c>
      <c r="D21" s="113">
        <f t="shared" si="0"/>
        <v>-10000</v>
      </c>
      <c r="E21" s="19" t="s">
        <v>4555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4556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4576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4578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303525</v>
      </c>
      <c r="C27" s="113">
        <f>SUM(C2:C26)</f>
        <v>0</v>
      </c>
      <c r="D27" s="113">
        <f>SUM(D2:D26)</f>
        <v>303525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31467323</v>
      </c>
      <c r="H28" s="18">
        <f>SUM(H2:H26)</f>
        <v>136582862</v>
      </c>
      <c r="I28" s="18">
        <f>SUM(I2:I26)</f>
        <v>-105115539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4511</v>
      </c>
      <c r="F33" s="96"/>
      <c r="G33" s="18">
        <v>600</v>
      </c>
      <c r="H33" s="18">
        <f>G33*H28/G28</f>
        <v>2604.2799128480042</v>
      </c>
      <c r="I33" s="18">
        <f>G33*I28/G28</f>
        <v>-2004.2799128480042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4515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4517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4516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4520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4535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4536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4537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4538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4546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124969</v>
      </c>
      <c r="E43" s="54" t="s">
        <v>4017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12661</v>
      </c>
      <c r="E44" s="54" t="s">
        <v>4563</v>
      </c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-55000</v>
      </c>
      <c r="E45" s="54" t="s">
        <v>4571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2238679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5" activePane="bottomLeft" state="frozen"/>
      <selection pane="bottomLeft" activeCell="E275" sqref="E27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979</v>
      </c>
      <c r="H2" s="36">
        <f>IF(B2&gt;0,1,0)</f>
        <v>1</v>
      </c>
      <c r="I2" s="11">
        <f>B2*(G2-H2)</f>
        <v>16332600</v>
      </c>
      <c r="J2" s="53">
        <f>C2*(G2-H2)</f>
        <v>16332600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978</v>
      </c>
      <c r="H3" s="36">
        <f t="shared" ref="H3:H66" si="2">IF(B3&gt;0,1,0)</f>
        <v>1</v>
      </c>
      <c r="I3" s="11">
        <f t="shared" ref="I3:I66" si="3">B3*(G3-H3)</f>
        <v>19442300000</v>
      </c>
      <c r="J3" s="53">
        <f t="shared" ref="J3:J66" si="4">C3*(G3-H3)</f>
        <v>11125099000</v>
      </c>
      <c r="K3" s="53">
        <f t="shared" ref="K3:K66" si="5">D3*(G3-H3)</f>
        <v>8317201000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978</v>
      </c>
      <c r="H4" s="36">
        <f t="shared" si="2"/>
        <v>0</v>
      </c>
      <c r="I4" s="11">
        <f t="shared" si="3"/>
        <v>0</v>
      </c>
      <c r="J4" s="53">
        <f t="shared" si="4"/>
        <v>8313000</v>
      </c>
      <c r="K4" s="53">
        <f t="shared" si="5"/>
        <v>-8313000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976</v>
      </c>
      <c r="H5" s="36">
        <f t="shared" si="2"/>
        <v>1</v>
      </c>
      <c r="I5" s="11">
        <f t="shared" si="3"/>
        <v>1950000000</v>
      </c>
      <c r="J5" s="53">
        <f t="shared" si="4"/>
        <v>0</v>
      </c>
      <c r="K5" s="53">
        <f t="shared" si="5"/>
        <v>1950000000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969</v>
      </c>
      <c r="H6" s="36">
        <f t="shared" si="2"/>
        <v>0</v>
      </c>
      <c r="I6" s="11">
        <f t="shared" si="3"/>
        <v>-4845000</v>
      </c>
      <c r="J6" s="53">
        <f t="shared" si="4"/>
        <v>0</v>
      </c>
      <c r="K6" s="53">
        <f t="shared" si="5"/>
        <v>-4845000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965</v>
      </c>
      <c r="H7" s="36">
        <f t="shared" si="2"/>
        <v>0</v>
      </c>
      <c r="I7" s="11">
        <f t="shared" si="3"/>
        <v>-1158482500</v>
      </c>
      <c r="J7" s="53">
        <f t="shared" si="4"/>
        <v>0</v>
      </c>
      <c r="K7" s="53">
        <f t="shared" si="5"/>
        <v>-1158482500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964</v>
      </c>
      <c r="H8" s="36">
        <f t="shared" si="2"/>
        <v>0</v>
      </c>
      <c r="I8" s="11">
        <f t="shared" si="3"/>
        <v>-192800000</v>
      </c>
      <c r="J8" s="53">
        <f t="shared" si="4"/>
        <v>0</v>
      </c>
      <c r="K8" s="53">
        <f t="shared" si="5"/>
        <v>-192800000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962</v>
      </c>
      <c r="H9" s="36">
        <f t="shared" si="2"/>
        <v>0</v>
      </c>
      <c r="I9" s="11">
        <f t="shared" si="3"/>
        <v>-678691000</v>
      </c>
      <c r="J9" s="53">
        <f t="shared" si="4"/>
        <v>0</v>
      </c>
      <c r="K9" s="53">
        <f t="shared" si="5"/>
        <v>-678691000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953</v>
      </c>
      <c r="H10" s="36">
        <f t="shared" si="2"/>
        <v>0</v>
      </c>
      <c r="I10" s="11">
        <f t="shared" si="3"/>
        <v>-190600000</v>
      </c>
      <c r="J10" s="53">
        <f t="shared" si="4"/>
        <v>0</v>
      </c>
      <c r="K10" s="53">
        <f t="shared" si="5"/>
        <v>-190600000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953</v>
      </c>
      <c r="H11" s="36">
        <f t="shared" si="2"/>
        <v>1</v>
      </c>
      <c r="I11" s="11">
        <f t="shared" si="3"/>
        <v>952000000</v>
      </c>
      <c r="J11" s="53">
        <f t="shared" si="4"/>
        <v>0</v>
      </c>
      <c r="K11" s="53">
        <f t="shared" si="5"/>
        <v>952000000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949</v>
      </c>
      <c r="H12" s="36">
        <f t="shared" si="2"/>
        <v>0</v>
      </c>
      <c r="I12" s="11">
        <f t="shared" si="3"/>
        <v>-284700000</v>
      </c>
      <c r="J12" s="53">
        <f t="shared" si="4"/>
        <v>0</v>
      </c>
      <c r="K12" s="53">
        <f t="shared" si="5"/>
        <v>-284700000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944</v>
      </c>
      <c r="H13" s="36">
        <f t="shared" si="2"/>
        <v>0</v>
      </c>
      <c r="I13" s="11">
        <f t="shared" si="3"/>
        <v>-58528000</v>
      </c>
      <c r="J13" s="53">
        <f t="shared" si="4"/>
        <v>0</v>
      </c>
      <c r="K13" s="53">
        <f t="shared" si="5"/>
        <v>-58528000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944</v>
      </c>
      <c r="H14" s="36">
        <f t="shared" si="2"/>
        <v>1</v>
      </c>
      <c r="I14" s="11">
        <f t="shared" si="3"/>
        <v>1886000000</v>
      </c>
      <c r="J14" s="53">
        <f t="shared" si="4"/>
        <v>0</v>
      </c>
      <c r="K14" s="53">
        <f t="shared" si="5"/>
        <v>1886000000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943</v>
      </c>
      <c r="H15" s="36">
        <f t="shared" si="2"/>
        <v>1</v>
      </c>
      <c r="I15" s="11">
        <f t="shared" si="3"/>
        <v>1695600000</v>
      </c>
      <c r="J15" s="53">
        <f t="shared" si="4"/>
        <v>0</v>
      </c>
      <c r="K15" s="53">
        <f t="shared" si="5"/>
        <v>1695600000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943</v>
      </c>
      <c r="H16" s="36">
        <f t="shared" si="2"/>
        <v>0</v>
      </c>
      <c r="I16" s="11">
        <f t="shared" si="3"/>
        <v>-188600000</v>
      </c>
      <c r="J16" s="53">
        <f t="shared" si="4"/>
        <v>0</v>
      </c>
      <c r="K16" s="53">
        <f t="shared" si="5"/>
        <v>-188600000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939</v>
      </c>
      <c r="H17" s="36">
        <f t="shared" si="2"/>
        <v>0</v>
      </c>
      <c r="I17" s="11">
        <f t="shared" si="3"/>
        <v>-1878000000</v>
      </c>
      <c r="J17" s="53">
        <f t="shared" si="4"/>
        <v>0</v>
      </c>
      <c r="K17" s="53">
        <f t="shared" si="5"/>
        <v>-1878000000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938</v>
      </c>
      <c r="H18" s="36">
        <f t="shared" si="2"/>
        <v>0</v>
      </c>
      <c r="I18" s="11">
        <f t="shared" si="3"/>
        <v>-281400000</v>
      </c>
      <c r="J18" s="53">
        <f t="shared" si="4"/>
        <v>0</v>
      </c>
      <c r="K18" s="53">
        <f t="shared" si="5"/>
        <v>-281400000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937</v>
      </c>
      <c r="H19" s="36">
        <f t="shared" si="2"/>
        <v>0</v>
      </c>
      <c r="I19" s="11">
        <f t="shared" si="3"/>
        <v>-187400000</v>
      </c>
      <c r="J19" s="53">
        <f t="shared" si="4"/>
        <v>0</v>
      </c>
      <c r="K19" s="53">
        <f t="shared" si="5"/>
        <v>-187400000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935</v>
      </c>
      <c r="H20" s="36">
        <f t="shared" si="2"/>
        <v>1</v>
      </c>
      <c r="I20" s="11">
        <f t="shared" si="3"/>
        <v>253197126</v>
      </c>
      <c r="J20" s="53">
        <f t="shared" si="4"/>
        <v>137720168</v>
      </c>
      <c r="K20" s="53">
        <f t="shared" si="5"/>
        <v>115476958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933</v>
      </c>
      <c r="H21" s="36">
        <f t="shared" si="2"/>
        <v>0</v>
      </c>
      <c r="I21" s="11">
        <f t="shared" si="3"/>
        <v>-1404818100</v>
      </c>
      <c r="J21" s="53">
        <f t="shared" si="4"/>
        <v>0</v>
      </c>
      <c r="K21" s="53">
        <f t="shared" si="5"/>
        <v>-1404818100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930</v>
      </c>
      <c r="H22" s="36">
        <f t="shared" si="2"/>
        <v>1</v>
      </c>
      <c r="I22" s="11">
        <f t="shared" si="3"/>
        <v>2787000000</v>
      </c>
      <c r="J22" s="53">
        <f t="shared" si="4"/>
        <v>0</v>
      </c>
      <c r="K22" s="53">
        <f t="shared" si="5"/>
        <v>2787000000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929</v>
      </c>
      <c r="H23" s="36">
        <f t="shared" si="2"/>
        <v>1</v>
      </c>
      <c r="I23" s="11">
        <f t="shared" si="3"/>
        <v>928000000</v>
      </c>
      <c r="J23" s="53">
        <f t="shared" si="4"/>
        <v>0</v>
      </c>
      <c r="K23" s="53">
        <f t="shared" si="5"/>
        <v>928000000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928</v>
      </c>
      <c r="H24" s="36">
        <f t="shared" si="2"/>
        <v>0</v>
      </c>
      <c r="I24" s="11">
        <f t="shared" si="3"/>
        <v>-2784835200</v>
      </c>
      <c r="J24" s="53">
        <f t="shared" si="4"/>
        <v>0</v>
      </c>
      <c r="K24" s="53">
        <f t="shared" si="5"/>
        <v>-2784835200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913</v>
      </c>
      <c r="H25" s="36">
        <f t="shared" si="2"/>
        <v>1</v>
      </c>
      <c r="I25" s="11">
        <f t="shared" si="3"/>
        <v>1368000000</v>
      </c>
      <c r="J25" s="53">
        <f t="shared" si="4"/>
        <v>0</v>
      </c>
      <c r="K25" s="53">
        <f t="shared" si="5"/>
        <v>1368000000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905</v>
      </c>
      <c r="H26" s="36">
        <f t="shared" si="2"/>
        <v>0</v>
      </c>
      <c r="I26" s="11">
        <f t="shared" si="3"/>
        <v>-148420000</v>
      </c>
      <c r="J26" s="53">
        <f t="shared" si="4"/>
        <v>0</v>
      </c>
      <c r="K26" s="53">
        <f t="shared" si="5"/>
        <v>-148420000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904</v>
      </c>
      <c r="H27" s="36">
        <f t="shared" si="2"/>
        <v>1</v>
      </c>
      <c r="I27" s="11">
        <f t="shared" si="3"/>
        <v>180051879</v>
      </c>
      <c r="J27" s="53">
        <f t="shared" si="4"/>
        <v>96993939</v>
      </c>
      <c r="K27" s="53">
        <f t="shared" si="5"/>
        <v>83057940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902</v>
      </c>
      <c r="H28" s="36">
        <f t="shared" si="2"/>
        <v>0</v>
      </c>
      <c r="I28" s="11">
        <f t="shared" si="3"/>
        <v>-199342000</v>
      </c>
      <c r="J28" s="53">
        <f t="shared" si="4"/>
        <v>-199342000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902</v>
      </c>
      <c r="H29" s="36">
        <f t="shared" si="2"/>
        <v>0</v>
      </c>
      <c r="I29" s="11">
        <f t="shared" si="3"/>
        <v>-451451000</v>
      </c>
      <c r="J29" s="53">
        <f t="shared" si="4"/>
        <v>0</v>
      </c>
      <c r="K29" s="53">
        <f t="shared" si="5"/>
        <v>-451451000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902</v>
      </c>
      <c r="H30" s="36">
        <f t="shared" si="2"/>
        <v>0</v>
      </c>
      <c r="I30" s="11">
        <f t="shared" si="3"/>
        <v>-13530000000</v>
      </c>
      <c r="J30" s="53">
        <f t="shared" si="4"/>
        <v>-13530000000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885</v>
      </c>
      <c r="H31" s="36">
        <f t="shared" si="2"/>
        <v>0</v>
      </c>
      <c r="I31" s="11">
        <f t="shared" si="3"/>
        <v>-2664646500</v>
      </c>
      <c r="J31" s="53">
        <f t="shared" si="4"/>
        <v>0</v>
      </c>
      <c r="K31" s="53">
        <f t="shared" si="5"/>
        <v>-2664646500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883</v>
      </c>
      <c r="H32" s="36">
        <f t="shared" si="2"/>
        <v>0</v>
      </c>
      <c r="I32" s="11">
        <f t="shared" si="3"/>
        <v>-2654209700</v>
      </c>
      <c r="J32" s="53">
        <f t="shared" si="4"/>
        <v>0</v>
      </c>
      <c r="K32" s="53">
        <f t="shared" si="5"/>
        <v>-2654209700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882</v>
      </c>
      <c r="H33" s="36">
        <f t="shared" si="2"/>
        <v>0</v>
      </c>
      <c r="I33" s="11">
        <f t="shared" si="3"/>
        <v>-789831000</v>
      </c>
      <c r="J33" s="53">
        <f t="shared" si="4"/>
        <v>0</v>
      </c>
      <c r="K33" s="53">
        <f t="shared" si="5"/>
        <v>-789831000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882</v>
      </c>
      <c r="H34" s="36">
        <f t="shared" si="2"/>
        <v>0</v>
      </c>
      <c r="I34" s="11">
        <f t="shared" si="3"/>
        <v>0</v>
      </c>
      <c r="J34" s="53">
        <f t="shared" si="4"/>
        <v>882000000</v>
      </c>
      <c r="K34" s="53">
        <f t="shared" si="5"/>
        <v>-882000000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873</v>
      </c>
      <c r="H35" s="36">
        <f t="shared" si="2"/>
        <v>1</v>
      </c>
      <c r="I35" s="11">
        <f t="shared" si="3"/>
        <v>45755584</v>
      </c>
      <c r="J35" s="53">
        <f t="shared" si="4"/>
        <v>-18890136</v>
      </c>
      <c r="K35" s="53">
        <f t="shared" si="5"/>
        <v>64645720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873</v>
      </c>
      <c r="H36" s="36">
        <f t="shared" si="2"/>
        <v>0</v>
      </c>
      <c r="I36" s="11">
        <f t="shared" si="3"/>
        <v>0</v>
      </c>
      <c r="J36" s="53">
        <f t="shared" si="4"/>
        <v>18911799</v>
      </c>
      <c r="K36" s="53">
        <f t="shared" si="5"/>
        <v>-18911799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863</v>
      </c>
      <c r="H37" s="36">
        <f t="shared" si="2"/>
        <v>0</v>
      </c>
      <c r="I37" s="11">
        <f t="shared" si="3"/>
        <v>-47465000</v>
      </c>
      <c r="J37" s="53">
        <f t="shared" si="4"/>
        <v>0</v>
      </c>
      <c r="K37" s="53">
        <f t="shared" si="5"/>
        <v>-47465000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862</v>
      </c>
      <c r="H38" s="36">
        <f t="shared" si="2"/>
        <v>1</v>
      </c>
      <c r="I38" s="11">
        <f t="shared" si="3"/>
        <v>2583000000</v>
      </c>
      <c r="J38" s="53">
        <f t="shared" si="4"/>
        <v>2583000000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861</v>
      </c>
      <c r="H39" s="36">
        <f t="shared" si="2"/>
        <v>1</v>
      </c>
      <c r="I39" s="11">
        <f t="shared" si="3"/>
        <v>2150000000</v>
      </c>
      <c r="J39" s="53">
        <f t="shared" si="4"/>
        <v>2150000000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861</v>
      </c>
      <c r="H40" s="36">
        <f t="shared" si="2"/>
        <v>0</v>
      </c>
      <c r="I40" s="11">
        <f t="shared" si="3"/>
        <v>-43050000</v>
      </c>
      <c r="J40" s="53">
        <f t="shared" si="4"/>
        <v>0</v>
      </c>
      <c r="K40" s="53">
        <f t="shared" si="5"/>
        <v>-43050000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861</v>
      </c>
      <c r="H41" s="36">
        <f t="shared" si="2"/>
        <v>1</v>
      </c>
      <c r="I41" s="11">
        <f t="shared" si="3"/>
        <v>2580000000</v>
      </c>
      <c r="J41" s="53">
        <f t="shared" si="4"/>
        <v>0</v>
      </c>
      <c r="K41" s="53">
        <f t="shared" si="5"/>
        <v>2580000000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858</v>
      </c>
      <c r="H42" s="36">
        <f t="shared" si="2"/>
        <v>0</v>
      </c>
      <c r="I42" s="11">
        <f t="shared" si="3"/>
        <v>-76533600</v>
      </c>
      <c r="J42" s="53">
        <f t="shared" si="4"/>
        <v>0</v>
      </c>
      <c r="K42" s="53">
        <f t="shared" si="5"/>
        <v>-76533600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854</v>
      </c>
      <c r="H43" s="36">
        <f t="shared" si="2"/>
        <v>0</v>
      </c>
      <c r="I43" s="11">
        <f t="shared" si="3"/>
        <v>-170800000</v>
      </c>
      <c r="J43" s="53">
        <f t="shared" si="4"/>
        <v>0</v>
      </c>
      <c r="K43" s="53">
        <f t="shared" si="5"/>
        <v>-170800000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852</v>
      </c>
      <c r="H44" s="36">
        <f t="shared" si="2"/>
        <v>0</v>
      </c>
      <c r="I44" s="11">
        <f t="shared" si="3"/>
        <v>-170400000</v>
      </c>
      <c r="J44" s="53">
        <f t="shared" si="4"/>
        <v>0</v>
      </c>
      <c r="K44" s="53">
        <f t="shared" si="5"/>
        <v>-170400000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852</v>
      </c>
      <c r="H45" s="36">
        <f t="shared" si="2"/>
        <v>0</v>
      </c>
      <c r="I45" s="11">
        <f t="shared" si="3"/>
        <v>-477120000</v>
      </c>
      <c r="J45" s="53">
        <f t="shared" si="4"/>
        <v>0</v>
      </c>
      <c r="K45" s="53">
        <f t="shared" si="5"/>
        <v>-477120000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848</v>
      </c>
      <c r="H46" s="36">
        <f t="shared" si="2"/>
        <v>0</v>
      </c>
      <c r="I46" s="11">
        <f t="shared" si="3"/>
        <v>-598264000</v>
      </c>
      <c r="J46" s="53">
        <f t="shared" si="4"/>
        <v>0</v>
      </c>
      <c r="K46" s="53">
        <f t="shared" si="5"/>
        <v>-598264000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842</v>
      </c>
      <c r="H47" s="36">
        <f t="shared" si="2"/>
        <v>1</v>
      </c>
      <c r="I47" s="11">
        <f t="shared" si="3"/>
        <v>34652564</v>
      </c>
      <c r="J47" s="53">
        <f t="shared" si="4"/>
        <v>5645633</v>
      </c>
      <c r="K47" s="53">
        <f t="shared" si="5"/>
        <v>29006931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842</v>
      </c>
      <c r="H48" s="36">
        <f t="shared" si="2"/>
        <v>1</v>
      </c>
      <c r="I48" s="11">
        <f t="shared" si="3"/>
        <v>1433652700</v>
      </c>
      <c r="J48" s="53">
        <f t="shared" si="4"/>
        <v>0</v>
      </c>
      <c r="K48" s="53">
        <f t="shared" si="5"/>
        <v>1433652700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833</v>
      </c>
      <c r="H49" s="36">
        <f t="shared" si="2"/>
        <v>0</v>
      </c>
      <c r="I49" s="11">
        <f t="shared" si="3"/>
        <v>-129115000</v>
      </c>
      <c r="J49" s="53">
        <f t="shared" si="4"/>
        <v>0</v>
      </c>
      <c r="K49" s="53">
        <f t="shared" si="5"/>
        <v>-129115000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833</v>
      </c>
      <c r="H50" s="36">
        <f t="shared" si="2"/>
        <v>0</v>
      </c>
      <c r="I50" s="11">
        <f t="shared" si="3"/>
        <v>-114954000</v>
      </c>
      <c r="J50" s="53">
        <f t="shared" si="4"/>
        <v>0</v>
      </c>
      <c r="K50" s="53">
        <f t="shared" si="5"/>
        <v>-114954000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833</v>
      </c>
      <c r="H51" s="36">
        <f t="shared" si="2"/>
        <v>0</v>
      </c>
      <c r="I51" s="11">
        <f t="shared" si="3"/>
        <v>-616420000</v>
      </c>
      <c r="J51" s="53">
        <f t="shared" si="4"/>
        <v>0</v>
      </c>
      <c r="K51" s="53">
        <f t="shared" si="5"/>
        <v>-616420000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833</v>
      </c>
      <c r="H52" s="36">
        <f t="shared" si="2"/>
        <v>0</v>
      </c>
      <c r="I52" s="11">
        <f t="shared" si="3"/>
        <v>-166600000</v>
      </c>
      <c r="J52" s="53">
        <f t="shared" si="4"/>
        <v>0</v>
      </c>
      <c r="K52" s="53">
        <f t="shared" si="5"/>
        <v>-166600000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832</v>
      </c>
      <c r="H53" s="36">
        <f t="shared" si="2"/>
        <v>0</v>
      </c>
      <c r="I53" s="11">
        <f t="shared" si="3"/>
        <v>-877760000</v>
      </c>
      <c r="J53" s="53">
        <f t="shared" si="4"/>
        <v>0</v>
      </c>
      <c r="K53" s="53">
        <f t="shared" si="5"/>
        <v>-877760000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832</v>
      </c>
      <c r="H54" s="36">
        <f t="shared" si="2"/>
        <v>0</v>
      </c>
      <c r="I54" s="11">
        <f t="shared" si="3"/>
        <v>-166400000</v>
      </c>
      <c r="J54" s="53">
        <f t="shared" si="4"/>
        <v>0</v>
      </c>
      <c r="K54" s="53">
        <f t="shared" si="5"/>
        <v>-166400000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832</v>
      </c>
      <c r="H55" s="36">
        <f t="shared" si="2"/>
        <v>0</v>
      </c>
      <c r="I55" s="11">
        <f t="shared" si="3"/>
        <v>-832416000</v>
      </c>
      <c r="J55" s="53">
        <f t="shared" si="4"/>
        <v>0</v>
      </c>
      <c r="K55" s="53">
        <f t="shared" si="5"/>
        <v>-832416000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832</v>
      </c>
      <c r="H56" s="36">
        <f t="shared" si="2"/>
        <v>0</v>
      </c>
      <c r="I56" s="11">
        <f t="shared" si="3"/>
        <v>-31616000</v>
      </c>
      <c r="J56" s="53">
        <f t="shared" si="4"/>
        <v>0</v>
      </c>
      <c r="K56" s="53">
        <f t="shared" si="5"/>
        <v>-31616000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832</v>
      </c>
      <c r="H57" s="36">
        <f t="shared" si="2"/>
        <v>0</v>
      </c>
      <c r="I57" s="11">
        <f t="shared" si="3"/>
        <v>-87360000</v>
      </c>
      <c r="J57" s="53">
        <f t="shared" si="4"/>
        <v>0</v>
      </c>
      <c r="K57" s="53">
        <f t="shared" si="5"/>
        <v>-87360000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832</v>
      </c>
      <c r="H58" s="36">
        <f t="shared" si="2"/>
        <v>0</v>
      </c>
      <c r="I58" s="11">
        <f t="shared" si="3"/>
        <v>-49920000</v>
      </c>
      <c r="J58" s="53">
        <f t="shared" si="4"/>
        <v>0</v>
      </c>
      <c r="K58" s="53">
        <f t="shared" si="5"/>
        <v>-49920000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829</v>
      </c>
      <c r="H59" s="36">
        <f t="shared" si="2"/>
        <v>1</v>
      </c>
      <c r="I59" s="11">
        <f t="shared" si="3"/>
        <v>828000000</v>
      </c>
      <c r="J59" s="53">
        <f t="shared" si="4"/>
        <v>828000000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828</v>
      </c>
      <c r="H60" s="36">
        <f t="shared" si="2"/>
        <v>1</v>
      </c>
      <c r="I60" s="11">
        <f t="shared" si="3"/>
        <v>2894500000</v>
      </c>
      <c r="J60" s="53">
        <f t="shared" si="4"/>
        <v>2894500000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826</v>
      </c>
      <c r="H61" s="36">
        <f t="shared" si="2"/>
        <v>1</v>
      </c>
      <c r="I61" s="11">
        <f t="shared" si="3"/>
        <v>825000000</v>
      </c>
      <c r="J61" s="53">
        <f t="shared" si="4"/>
        <v>825000000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826</v>
      </c>
      <c r="H62" s="36">
        <f t="shared" si="2"/>
        <v>1</v>
      </c>
      <c r="I62" s="11">
        <f t="shared" si="3"/>
        <v>2475000000</v>
      </c>
      <c r="J62" s="53">
        <f t="shared" si="4"/>
        <v>2475000000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824</v>
      </c>
      <c r="H63" s="36">
        <f t="shared" si="2"/>
        <v>0</v>
      </c>
      <c r="I63" s="11">
        <f t="shared" si="3"/>
        <v>-164800000</v>
      </c>
      <c r="J63" s="53">
        <f t="shared" si="4"/>
        <v>0</v>
      </c>
      <c r="K63" s="53">
        <f t="shared" si="5"/>
        <v>-164800000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819</v>
      </c>
      <c r="H64" s="36">
        <f t="shared" si="2"/>
        <v>0</v>
      </c>
      <c r="I64" s="11">
        <f t="shared" si="3"/>
        <v>-40950000</v>
      </c>
      <c r="J64" s="53">
        <f t="shared" si="4"/>
        <v>0</v>
      </c>
      <c r="K64" s="53">
        <f t="shared" si="5"/>
        <v>-40950000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815</v>
      </c>
      <c r="H65" s="36">
        <f t="shared" si="2"/>
        <v>0</v>
      </c>
      <c r="I65" s="11">
        <f t="shared" si="3"/>
        <v>-163000000</v>
      </c>
      <c r="J65" s="53">
        <f t="shared" si="4"/>
        <v>0</v>
      </c>
      <c r="K65" s="53">
        <f t="shared" si="5"/>
        <v>-163000000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812</v>
      </c>
      <c r="H66" s="36">
        <f t="shared" si="2"/>
        <v>0</v>
      </c>
      <c r="I66" s="11">
        <f t="shared" si="3"/>
        <v>-138040000</v>
      </c>
      <c r="J66" s="53">
        <f t="shared" si="4"/>
        <v>0</v>
      </c>
      <c r="K66" s="53">
        <f t="shared" si="5"/>
        <v>-138040000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811</v>
      </c>
      <c r="H67" s="36">
        <f t="shared" ref="H67:H131" si="8">IF(B67&gt;0,1,0)</f>
        <v>1</v>
      </c>
      <c r="I67" s="11">
        <f t="shared" ref="I67:I119" si="9">B67*(G67-H67)</f>
        <v>73973250</v>
      </c>
      <c r="J67" s="53">
        <f t="shared" ref="J67:J131" si="10">C67*(G67-H67)</f>
        <v>53235630</v>
      </c>
      <c r="K67" s="53">
        <f t="shared" ref="K67:K131" si="11">D67*(G67-H67)</f>
        <v>20737620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793</v>
      </c>
      <c r="H68" s="36">
        <f t="shared" si="8"/>
        <v>0</v>
      </c>
      <c r="I68" s="11">
        <f t="shared" si="9"/>
        <v>-114985000</v>
      </c>
      <c r="J68" s="53">
        <f t="shared" si="10"/>
        <v>0</v>
      </c>
      <c r="K68" s="53">
        <f t="shared" si="11"/>
        <v>-114985000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786</v>
      </c>
      <c r="H69" s="36">
        <f t="shared" si="8"/>
        <v>1</v>
      </c>
      <c r="I69" s="11">
        <f t="shared" si="9"/>
        <v>769300000</v>
      </c>
      <c r="J69" s="53">
        <f t="shared" si="10"/>
        <v>0</v>
      </c>
      <c r="K69" s="53">
        <f t="shared" si="11"/>
        <v>769300000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783</v>
      </c>
      <c r="H70" s="36">
        <f t="shared" si="8"/>
        <v>0</v>
      </c>
      <c r="I70" s="11">
        <f t="shared" si="9"/>
        <v>-36018000</v>
      </c>
      <c r="J70" s="53">
        <f t="shared" si="10"/>
        <v>0</v>
      </c>
      <c r="K70" s="53">
        <f t="shared" si="11"/>
        <v>-36018000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781</v>
      </c>
      <c r="H71" s="36">
        <f t="shared" si="8"/>
        <v>1</v>
      </c>
      <c r="I71" s="11">
        <f t="shared" si="9"/>
        <v>89963640</v>
      </c>
      <c r="J71" s="53">
        <f t="shared" si="10"/>
        <v>80973360</v>
      </c>
      <c r="K71" s="53">
        <f t="shared" si="11"/>
        <v>8990280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780</v>
      </c>
      <c r="H72" s="36">
        <f t="shared" si="8"/>
        <v>0</v>
      </c>
      <c r="I72" s="11">
        <f t="shared" si="9"/>
        <v>-118535820</v>
      </c>
      <c r="J72" s="53">
        <f t="shared" si="10"/>
        <v>0</v>
      </c>
      <c r="K72" s="53">
        <f t="shared" si="11"/>
        <v>-118535820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779</v>
      </c>
      <c r="H73" s="36">
        <f t="shared" si="8"/>
        <v>0</v>
      </c>
      <c r="I73" s="11">
        <f t="shared" si="9"/>
        <v>-627484500</v>
      </c>
      <c r="J73" s="53">
        <f t="shared" si="10"/>
        <v>0</v>
      </c>
      <c r="K73" s="53">
        <f t="shared" si="11"/>
        <v>-627484500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772</v>
      </c>
      <c r="H74" s="36">
        <f t="shared" si="8"/>
        <v>1</v>
      </c>
      <c r="I74" s="11">
        <f t="shared" si="9"/>
        <v>5393145000</v>
      </c>
      <c r="J74" s="53">
        <f t="shared" si="10"/>
        <v>0</v>
      </c>
      <c r="K74" s="53">
        <f t="shared" si="11"/>
        <v>5393145000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771</v>
      </c>
      <c r="H75" s="36">
        <f t="shared" si="8"/>
        <v>1</v>
      </c>
      <c r="I75" s="11">
        <f t="shared" si="9"/>
        <v>2310000000</v>
      </c>
      <c r="J75" s="53">
        <f t="shared" si="10"/>
        <v>0</v>
      </c>
      <c r="K75" s="53">
        <f t="shared" si="11"/>
        <v>2310000000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769</v>
      </c>
      <c r="H76" s="36">
        <f t="shared" si="8"/>
        <v>1</v>
      </c>
      <c r="I76" s="11">
        <f t="shared" si="9"/>
        <v>2304000000</v>
      </c>
      <c r="J76" s="53">
        <f t="shared" si="10"/>
        <v>0</v>
      </c>
      <c r="K76" s="53">
        <f t="shared" si="11"/>
        <v>2304000000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768</v>
      </c>
      <c r="H77" s="36">
        <f t="shared" si="8"/>
        <v>1</v>
      </c>
      <c r="I77" s="11">
        <f t="shared" si="9"/>
        <v>2301000000</v>
      </c>
      <c r="J77" s="53">
        <f t="shared" si="10"/>
        <v>0</v>
      </c>
      <c r="K77" s="53">
        <f t="shared" si="11"/>
        <v>2301000000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767</v>
      </c>
      <c r="H78" s="36">
        <f t="shared" si="8"/>
        <v>0</v>
      </c>
      <c r="I78" s="11">
        <f t="shared" si="9"/>
        <v>-2454400000</v>
      </c>
      <c r="J78" s="53">
        <f t="shared" si="10"/>
        <v>-2454400000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766</v>
      </c>
      <c r="H79" s="36">
        <f t="shared" si="8"/>
        <v>0</v>
      </c>
      <c r="I79" s="11">
        <f t="shared" si="9"/>
        <v>-612800000</v>
      </c>
      <c r="J79" s="53">
        <f t="shared" si="10"/>
        <v>-612800000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765</v>
      </c>
      <c r="H80" s="36">
        <f t="shared" si="8"/>
        <v>0</v>
      </c>
      <c r="I80" s="11">
        <f t="shared" si="9"/>
        <v>-37020645</v>
      </c>
      <c r="J80" s="53">
        <f t="shared" si="10"/>
        <v>0</v>
      </c>
      <c r="K80" s="53">
        <f t="shared" si="11"/>
        <v>-37020645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764</v>
      </c>
      <c r="H81" s="36">
        <f t="shared" si="8"/>
        <v>0</v>
      </c>
      <c r="I81" s="11">
        <f t="shared" si="9"/>
        <v>-106960000</v>
      </c>
      <c r="J81" s="53">
        <f t="shared" si="10"/>
        <v>0</v>
      </c>
      <c r="K81" s="53">
        <f t="shared" si="11"/>
        <v>-106960000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763</v>
      </c>
      <c r="H82" s="36">
        <f t="shared" si="8"/>
        <v>0</v>
      </c>
      <c r="I82" s="11">
        <f t="shared" si="9"/>
        <v>-190750000</v>
      </c>
      <c r="J82" s="53">
        <f t="shared" si="10"/>
        <v>0</v>
      </c>
      <c r="K82" s="53">
        <f t="shared" si="11"/>
        <v>-190750000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762</v>
      </c>
      <c r="H83" s="36">
        <f t="shared" si="8"/>
        <v>0</v>
      </c>
      <c r="I83" s="11">
        <f t="shared" si="9"/>
        <v>-152400000</v>
      </c>
      <c r="J83" s="53">
        <f t="shared" si="10"/>
        <v>0</v>
      </c>
      <c r="K83" s="53">
        <f t="shared" si="11"/>
        <v>-152400000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759</v>
      </c>
      <c r="H84" s="36">
        <f t="shared" si="8"/>
        <v>1</v>
      </c>
      <c r="I84" s="11">
        <f t="shared" si="9"/>
        <v>1239481600</v>
      </c>
      <c r="J84" s="53">
        <f t="shared" si="10"/>
        <v>0</v>
      </c>
      <c r="K84" s="53">
        <f t="shared" si="11"/>
        <v>1239481600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755</v>
      </c>
      <c r="H85" s="36">
        <f t="shared" si="8"/>
        <v>1</v>
      </c>
      <c r="I85" s="11">
        <f t="shared" si="9"/>
        <v>1885000000</v>
      </c>
      <c r="J85" s="53">
        <f t="shared" si="10"/>
        <v>0</v>
      </c>
      <c r="K85" s="53">
        <f t="shared" si="11"/>
        <v>1885000000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751</v>
      </c>
      <c r="H86" s="36">
        <f t="shared" si="8"/>
        <v>1</v>
      </c>
      <c r="I86" s="11">
        <f t="shared" si="9"/>
        <v>139725000</v>
      </c>
      <c r="J86" s="53">
        <f t="shared" si="10"/>
        <v>63712500</v>
      </c>
      <c r="K86" s="53">
        <f t="shared" si="11"/>
        <v>76012500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748</v>
      </c>
      <c r="H87" s="36">
        <f t="shared" si="8"/>
        <v>0</v>
      </c>
      <c r="I87" s="11">
        <f t="shared" si="9"/>
        <v>-149600000</v>
      </c>
      <c r="J87" s="53">
        <f t="shared" si="10"/>
        <v>0</v>
      </c>
      <c r="K87" s="53">
        <f t="shared" si="11"/>
        <v>-149600000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747</v>
      </c>
      <c r="H88" s="36">
        <f t="shared" si="8"/>
        <v>0</v>
      </c>
      <c r="I88" s="11">
        <f t="shared" si="9"/>
        <v>-88146000</v>
      </c>
      <c r="J88" s="53">
        <f t="shared" si="10"/>
        <v>-51543000</v>
      </c>
      <c r="K88" s="53">
        <f t="shared" si="11"/>
        <v>-36603000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739</v>
      </c>
      <c r="H89" s="36">
        <f t="shared" si="8"/>
        <v>0</v>
      </c>
      <c r="I89" s="11">
        <f t="shared" si="9"/>
        <v>-2365465100</v>
      </c>
      <c r="J89" s="53">
        <f t="shared" si="10"/>
        <v>0</v>
      </c>
      <c r="K89" s="53">
        <f t="shared" si="11"/>
        <v>-2365465100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738</v>
      </c>
      <c r="H90" s="36">
        <f t="shared" si="8"/>
        <v>0</v>
      </c>
      <c r="I90" s="11">
        <f t="shared" si="9"/>
        <v>-2362264200</v>
      </c>
      <c r="J90" s="53">
        <f t="shared" si="10"/>
        <v>0</v>
      </c>
      <c r="K90" s="53">
        <f t="shared" si="11"/>
        <v>-2362264200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737</v>
      </c>
      <c r="H91" s="36">
        <f t="shared" si="8"/>
        <v>0</v>
      </c>
      <c r="I91" s="11">
        <f t="shared" si="9"/>
        <v>-2359063300</v>
      </c>
      <c r="J91" s="53">
        <f t="shared" si="10"/>
        <v>0</v>
      </c>
      <c r="K91" s="53">
        <f t="shared" si="11"/>
        <v>-2359063300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736</v>
      </c>
      <c r="H92" s="36">
        <f t="shared" si="8"/>
        <v>0</v>
      </c>
      <c r="I92" s="11">
        <f t="shared" si="9"/>
        <v>-2355862400</v>
      </c>
      <c r="J92" s="53">
        <f t="shared" si="10"/>
        <v>0</v>
      </c>
      <c r="K92" s="53">
        <f t="shared" si="11"/>
        <v>-2355862400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735</v>
      </c>
      <c r="H93" s="36">
        <f t="shared" si="8"/>
        <v>0</v>
      </c>
      <c r="I93" s="11">
        <f t="shared" si="9"/>
        <v>-2352661500</v>
      </c>
      <c r="J93" s="53">
        <f t="shared" si="10"/>
        <v>0</v>
      </c>
      <c r="K93" s="53">
        <f t="shared" si="11"/>
        <v>-2352661500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734</v>
      </c>
      <c r="H94" s="36">
        <f t="shared" si="8"/>
        <v>0</v>
      </c>
      <c r="I94" s="11">
        <f t="shared" si="9"/>
        <v>-2349460600</v>
      </c>
      <c r="J94" s="53">
        <f t="shared" si="10"/>
        <v>0</v>
      </c>
      <c r="K94" s="53">
        <f t="shared" si="11"/>
        <v>-2349460600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732</v>
      </c>
      <c r="H95" s="36">
        <f t="shared" si="8"/>
        <v>0</v>
      </c>
      <c r="I95" s="11">
        <f t="shared" si="9"/>
        <v>-875908272</v>
      </c>
      <c r="J95" s="53">
        <f t="shared" si="10"/>
        <v>0</v>
      </c>
      <c r="K95" s="53">
        <f t="shared" si="11"/>
        <v>-875908272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722</v>
      </c>
      <c r="H96" s="36">
        <f t="shared" si="8"/>
        <v>0</v>
      </c>
      <c r="I96" s="11">
        <f t="shared" si="9"/>
        <v>-144400000</v>
      </c>
      <c r="J96" s="53">
        <f t="shared" si="10"/>
        <v>0</v>
      </c>
      <c r="K96" s="53">
        <f t="shared" si="11"/>
        <v>-144400000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721</v>
      </c>
      <c r="H97" s="36">
        <f t="shared" si="8"/>
        <v>1</v>
      </c>
      <c r="I97" s="11">
        <f t="shared" si="9"/>
        <v>114881760</v>
      </c>
      <c r="J97" s="53">
        <f t="shared" si="10"/>
        <v>49626720</v>
      </c>
      <c r="K97" s="53">
        <f t="shared" si="11"/>
        <v>65255040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716</v>
      </c>
      <c r="H98" s="36">
        <f t="shared" si="8"/>
        <v>1</v>
      </c>
      <c r="I98" s="11">
        <f t="shared" si="9"/>
        <v>81773120</v>
      </c>
      <c r="J98" s="53">
        <f t="shared" si="10"/>
        <v>0</v>
      </c>
      <c r="K98" s="53">
        <f t="shared" si="11"/>
        <v>81773120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713</v>
      </c>
      <c r="H99" s="36">
        <f t="shared" si="8"/>
        <v>0</v>
      </c>
      <c r="I99" s="11">
        <f t="shared" si="9"/>
        <v>-944725000</v>
      </c>
      <c r="J99" s="53">
        <f t="shared" si="10"/>
        <v>0</v>
      </c>
      <c r="K99" s="53">
        <f t="shared" si="11"/>
        <v>-944725000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708</v>
      </c>
      <c r="H100" s="36">
        <f t="shared" si="8"/>
        <v>1</v>
      </c>
      <c r="I100" s="11">
        <f t="shared" si="9"/>
        <v>936775000</v>
      </c>
      <c r="J100" s="53">
        <f t="shared" si="10"/>
        <v>0</v>
      </c>
      <c r="K100" s="53">
        <f t="shared" si="11"/>
        <v>936775000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691</v>
      </c>
      <c r="H101" s="36">
        <f t="shared" si="8"/>
        <v>1</v>
      </c>
      <c r="I101" s="11">
        <f t="shared" si="9"/>
        <v>46123050</v>
      </c>
      <c r="J101" s="53">
        <f t="shared" si="10"/>
        <v>46123050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688</v>
      </c>
      <c r="H102" s="36">
        <f t="shared" si="8"/>
        <v>1</v>
      </c>
      <c r="I102" s="11">
        <f t="shared" si="9"/>
        <v>2061000000</v>
      </c>
      <c r="J102" s="53">
        <f t="shared" si="10"/>
        <v>0</v>
      </c>
      <c r="K102" s="53">
        <f t="shared" si="11"/>
        <v>2061000000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681</v>
      </c>
      <c r="H103" s="36">
        <f t="shared" si="8"/>
        <v>0</v>
      </c>
      <c r="I103" s="11">
        <f t="shared" si="9"/>
        <v>-681000000</v>
      </c>
      <c r="J103" s="53">
        <f t="shared" si="10"/>
        <v>-681000000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671</v>
      </c>
      <c r="H104" s="36">
        <f t="shared" si="8"/>
        <v>1</v>
      </c>
      <c r="I104" s="11">
        <f t="shared" si="9"/>
        <v>2010000000</v>
      </c>
      <c r="J104" s="53">
        <f t="shared" si="10"/>
        <v>2010000000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670</v>
      </c>
      <c r="H105" s="36">
        <f t="shared" si="8"/>
        <v>1</v>
      </c>
      <c r="I105" s="11">
        <f t="shared" si="9"/>
        <v>749280000</v>
      </c>
      <c r="J105" s="53">
        <f t="shared" si="10"/>
        <v>749280000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670</v>
      </c>
      <c r="H106" s="36">
        <f t="shared" si="8"/>
        <v>0</v>
      </c>
      <c r="I106" s="11">
        <f t="shared" si="9"/>
        <v>-2010000000</v>
      </c>
      <c r="J106" s="53">
        <f t="shared" si="10"/>
        <v>0</v>
      </c>
      <c r="K106" s="53">
        <f t="shared" si="11"/>
        <v>-2010000000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661</v>
      </c>
      <c r="H107" s="36">
        <f t="shared" si="8"/>
        <v>1</v>
      </c>
      <c r="I107" s="11">
        <f t="shared" si="9"/>
        <v>59726040</v>
      </c>
      <c r="J107" s="53">
        <f t="shared" si="10"/>
        <v>49575900</v>
      </c>
      <c r="K107" s="53">
        <f t="shared" si="11"/>
        <v>10150140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659</v>
      </c>
      <c r="H108" s="36">
        <f t="shared" si="8"/>
        <v>0</v>
      </c>
      <c r="I108" s="11">
        <f t="shared" si="9"/>
        <v>-1120761300</v>
      </c>
      <c r="J108" s="53">
        <f t="shared" si="10"/>
        <v>0</v>
      </c>
      <c r="K108" s="53">
        <f t="shared" si="11"/>
        <v>-1120761300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655</v>
      </c>
      <c r="H109" s="36">
        <f t="shared" si="8"/>
        <v>0</v>
      </c>
      <c r="I109" s="11">
        <f t="shared" si="9"/>
        <v>-655327500</v>
      </c>
      <c r="J109" s="53">
        <f t="shared" si="10"/>
        <v>0</v>
      </c>
      <c r="K109" s="53">
        <f t="shared" si="11"/>
        <v>-655327500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652</v>
      </c>
      <c r="H110" s="36">
        <f t="shared" si="8"/>
        <v>1</v>
      </c>
      <c r="I110" s="11">
        <f t="shared" si="9"/>
        <v>13020000000</v>
      </c>
      <c r="J110" s="53">
        <f t="shared" si="10"/>
        <v>0</v>
      </c>
      <c r="K110" s="53">
        <f t="shared" si="11"/>
        <v>13020000000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632</v>
      </c>
      <c r="H111" s="36">
        <f t="shared" si="8"/>
        <v>1</v>
      </c>
      <c r="I111" s="11">
        <f t="shared" si="9"/>
        <v>110221818</v>
      </c>
      <c r="J111" s="53">
        <f t="shared" si="10"/>
        <v>55126053</v>
      </c>
      <c r="K111" s="53">
        <f t="shared" si="11"/>
        <v>55095765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616</v>
      </c>
      <c r="H112" s="36">
        <f t="shared" si="8"/>
        <v>0</v>
      </c>
      <c r="I112" s="11">
        <f t="shared" si="9"/>
        <v>-17494400000</v>
      </c>
      <c r="J112" s="53">
        <f t="shared" si="10"/>
        <v>0</v>
      </c>
      <c r="K112" s="53">
        <f t="shared" si="11"/>
        <v>-17494400000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601</v>
      </c>
      <c r="H113" s="36">
        <f t="shared" si="8"/>
        <v>1</v>
      </c>
      <c r="I113" s="11">
        <f t="shared" si="9"/>
        <v>97824000</v>
      </c>
      <c r="J113" s="53">
        <f t="shared" si="10"/>
        <v>73506600</v>
      </c>
      <c r="K113" s="53">
        <f t="shared" si="11"/>
        <v>24317400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601</v>
      </c>
      <c r="H114" s="36">
        <f t="shared" si="8"/>
        <v>0</v>
      </c>
      <c r="I114" s="11">
        <f t="shared" si="9"/>
        <v>-3425700</v>
      </c>
      <c r="J114" s="53">
        <f t="shared" si="10"/>
        <v>-1502500</v>
      </c>
      <c r="K114" s="53">
        <f t="shared" si="11"/>
        <v>-1923200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588</v>
      </c>
      <c r="H115" s="36">
        <f t="shared" si="8"/>
        <v>0</v>
      </c>
      <c r="I115" s="11">
        <f t="shared" si="9"/>
        <v>0</v>
      </c>
      <c r="J115" s="53">
        <f t="shared" si="10"/>
        <v>294000000</v>
      </c>
      <c r="K115" s="53">
        <f t="shared" si="11"/>
        <v>-294000000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580</v>
      </c>
      <c r="H116" s="36">
        <f t="shared" si="8"/>
        <v>0</v>
      </c>
      <c r="I116" s="11">
        <f t="shared" si="9"/>
        <v>-92800000</v>
      </c>
      <c r="J116" s="53">
        <f t="shared" si="10"/>
        <v>0</v>
      </c>
      <c r="K116" s="53">
        <f t="shared" si="11"/>
        <v>-92800000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571</v>
      </c>
      <c r="H117" s="36">
        <f t="shared" si="8"/>
        <v>1</v>
      </c>
      <c r="I117" s="11">
        <f t="shared" si="9"/>
        <v>843600</v>
      </c>
      <c r="J117" s="53">
        <f t="shared" si="10"/>
        <v>60956370</v>
      </c>
      <c r="K117" s="53">
        <f t="shared" si="11"/>
        <v>-60112770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549</v>
      </c>
      <c r="H118" s="36">
        <f t="shared" si="8"/>
        <v>1</v>
      </c>
      <c r="I118" s="11">
        <f t="shared" si="9"/>
        <v>21590926000</v>
      </c>
      <c r="J118" s="53">
        <f t="shared" si="10"/>
        <v>0</v>
      </c>
      <c r="K118" s="53">
        <f t="shared" si="11"/>
        <v>21590926000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540</v>
      </c>
      <c r="H119" s="36">
        <f t="shared" si="8"/>
        <v>1</v>
      </c>
      <c r="I119" s="11">
        <f t="shared" si="9"/>
        <v>51485819</v>
      </c>
      <c r="J119" s="53">
        <f t="shared" si="10"/>
        <v>59319106</v>
      </c>
      <c r="K119" s="53">
        <f t="shared" si="11"/>
        <v>-7833287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536</v>
      </c>
      <c r="H120" s="11">
        <f t="shared" si="8"/>
        <v>1</v>
      </c>
      <c r="I120" s="11">
        <f t="shared" ref="I120:I266" si="13">B120*(G120-H120)</f>
        <v>1070000000</v>
      </c>
      <c r="J120" s="11">
        <f t="shared" si="10"/>
        <v>0</v>
      </c>
      <c r="K120" s="11">
        <f t="shared" si="11"/>
        <v>1070000000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510</v>
      </c>
      <c r="H121" s="11">
        <f t="shared" si="8"/>
        <v>1</v>
      </c>
      <c r="I121" s="11">
        <f t="shared" si="13"/>
        <v>1323400000</v>
      </c>
      <c r="J121" s="11">
        <f t="shared" si="10"/>
        <v>0</v>
      </c>
      <c r="K121" s="11">
        <f t="shared" si="11"/>
        <v>1323400000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509</v>
      </c>
      <c r="H122" s="11">
        <f t="shared" si="8"/>
        <v>1</v>
      </c>
      <c r="I122" s="11">
        <f t="shared" si="13"/>
        <v>195351908</v>
      </c>
      <c r="J122" s="11">
        <f t="shared" si="10"/>
        <v>56341264</v>
      </c>
      <c r="K122" s="11">
        <f t="shared" si="11"/>
        <v>139010644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508</v>
      </c>
      <c r="H123" s="11">
        <f t="shared" si="8"/>
        <v>0</v>
      </c>
      <c r="I123" s="11">
        <f t="shared" si="13"/>
        <v>0</v>
      </c>
      <c r="J123" s="11">
        <f t="shared" si="10"/>
        <v>406400000</v>
      </c>
      <c r="K123" s="11">
        <f t="shared" si="11"/>
        <v>-406400000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494</v>
      </c>
      <c r="H124" s="11">
        <f t="shared" si="8"/>
        <v>0</v>
      </c>
      <c r="I124" s="11">
        <f t="shared" si="13"/>
        <v>-1482000000</v>
      </c>
      <c r="J124" s="11">
        <f t="shared" si="10"/>
        <v>0</v>
      </c>
      <c r="K124" s="11">
        <f t="shared" si="11"/>
        <v>-1482000000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479</v>
      </c>
      <c r="H125" s="11">
        <f t="shared" si="8"/>
        <v>1</v>
      </c>
      <c r="I125" s="11">
        <f t="shared" si="13"/>
        <v>191539380</v>
      </c>
      <c r="J125" s="11">
        <f t="shared" si="10"/>
        <v>56822250</v>
      </c>
      <c r="K125" s="11">
        <f t="shared" si="11"/>
        <v>134717130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479</v>
      </c>
      <c r="H126" s="11">
        <f t="shared" si="8"/>
        <v>1</v>
      </c>
      <c r="I126" s="11">
        <f t="shared" si="13"/>
        <v>20076000000</v>
      </c>
      <c r="J126" s="11">
        <f t="shared" si="10"/>
        <v>0</v>
      </c>
      <c r="K126" s="11">
        <f t="shared" si="11"/>
        <v>20076000000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454</v>
      </c>
      <c r="H127" s="11">
        <f t="shared" si="8"/>
        <v>0</v>
      </c>
      <c r="I127" s="11">
        <f t="shared" si="13"/>
        <v>-2270000</v>
      </c>
      <c r="J127" s="11">
        <f t="shared" si="10"/>
        <v>0</v>
      </c>
      <c r="K127" s="11">
        <f t="shared" si="11"/>
        <v>-2270000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448</v>
      </c>
      <c r="H128" s="11">
        <f t="shared" si="8"/>
        <v>1</v>
      </c>
      <c r="I128" s="11">
        <f t="shared" si="13"/>
        <v>344804178</v>
      </c>
      <c r="J128" s="11">
        <f t="shared" si="10"/>
        <v>53951559</v>
      </c>
      <c r="K128" s="11">
        <f t="shared" si="11"/>
        <v>290852619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445</v>
      </c>
      <c r="H129" s="11">
        <f t="shared" si="8"/>
        <v>1</v>
      </c>
      <c r="I129" s="11">
        <f t="shared" si="13"/>
        <v>1110000000</v>
      </c>
      <c r="J129" s="11">
        <f t="shared" si="10"/>
        <v>0</v>
      </c>
      <c r="K129" s="11">
        <f t="shared" si="11"/>
        <v>1110000000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431</v>
      </c>
      <c r="H130" s="11">
        <f t="shared" si="8"/>
        <v>0</v>
      </c>
      <c r="I130" s="11">
        <f t="shared" si="13"/>
        <v>-431000000</v>
      </c>
      <c r="J130" s="11">
        <f t="shared" si="10"/>
        <v>-431000000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426</v>
      </c>
      <c r="H131" s="11">
        <f t="shared" si="8"/>
        <v>0</v>
      </c>
      <c r="I131" s="11">
        <f t="shared" si="13"/>
        <v>-21300000000</v>
      </c>
      <c r="J131" s="11">
        <f t="shared" si="10"/>
        <v>0</v>
      </c>
      <c r="K131" s="11">
        <f t="shared" si="11"/>
        <v>-21300000000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418</v>
      </c>
      <c r="H132" s="11">
        <f t="shared" ref="H132:H266" si="15">IF(B132&gt;0,1,0)</f>
        <v>1</v>
      </c>
      <c r="I132" s="11">
        <f t="shared" si="13"/>
        <v>256157679</v>
      </c>
      <c r="J132" s="11">
        <f t="shared" ref="J132:J206" si="16">C132*(G132-H132)</f>
        <v>44189907</v>
      </c>
      <c r="K132" s="11">
        <f t="shared" ref="K132:K266" si="17">D132*(G132-H132)</f>
        <v>211967772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414</v>
      </c>
      <c r="H133" s="11">
        <f t="shared" si="15"/>
        <v>0</v>
      </c>
      <c r="I133" s="11">
        <f t="shared" si="13"/>
        <v>-501229800</v>
      </c>
      <c r="J133" s="11">
        <f t="shared" si="16"/>
        <v>0</v>
      </c>
      <c r="K133" s="11">
        <f t="shared" si="17"/>
        <v>-501229800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405</v>
      </c>
      <c r="H134" s="11">
        <f t="shared" si="15"/>
        <v>0</v>
      </c>
      <c r="I134" s="11">
        <f t="shared" si="13"/>
        <v>-26325000</v>
      </c>
      <c r="J134" s="11">
        <f t="shared" si="16"/>
        <v>0</v>
      </c>
      <c r="K134" s="11">
        <f t="shared" si="17"/>
        <v>-26325000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405</v>
      </c>
      <c r="H135" s="11">
        <f t="shared" si="15"/>
        <v>0</v>
      </c>
      <c r="I135" s="11">
        <f t="shared" si="13"/>
        <v>-13081500</v>
      </c>
      <c r="J135" s="11">
        <f t="shared" si="16"/>
        <v>0</v>
      </c>
      <c r="K135" s="11">
        <f t="shared" si="17"/>
        <v>-13081500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397</v>
      </c>
      <c r="H136" s="11">
        <f t="shared" si="15"/>
        <v>0</v>
      </c>
      <c r="I136" s="11">
        <f t="shared" si="13"/>
        <v>-397000000</v>
      </c>
      <c r="J136" s="11">
        <f t="shared" si="16"/>
        <v>-397000000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388</v>
      </c>
      <c r="H137" s="11">
        <f t="shared" si="15"/>
        <v>1</v>
      </c>
      <c r="I137" s="11">
        <f t="shared" si="13"/>
        <v>112567851</v>
      </c>
      <c r="J137" s="11">
        <f t="shared" si="16"/>
        <v>37677933</v>
      </c>
      <c r="K137" s="11">
        <f t="shared" si="17"/>
        <v>74889918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371</v>
      </c>
      <c r="H138" s="11">
        <f t="shared" si="15"/>
        <v>0</v>
      </c>
      <c r="I138" s="11">
        <f t="shared" si="13"/>
        <v>-371185500</v>
      </c>
      <c r="J138" s="11">
        <f t="shared" si="16"/>
        <v>-371185500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359</v>
      </c>
      <c r="H139" s="11">
        <f t="shared" si="15"/>
        <v>1</v>
      </c>
      <c r="I139" s="11">
        <f t="shared" si="13"/>
        <v>101041920</v>
      </c>
      <c r="J139" s="11">
        <f t="shared" si="16"/>
        <v>31792906</v>
      </c>
      <c r="K139" s="11">
        <f t="shared" si="17"/>
        <v>69249014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356</v>
      </c>
      <c r="H140" s="11">
        <f t="shared" si="15"/>
        <v>1</v>
      </c>
      <c r="I140" s="11">
        <f t="shared" si="13"/>
        <v>532500000</v>
      </c>
      <c r="J140" s="11">
        <f t="shared" si="16"/>
        <v>0</v>
      </c>
      <c r="K140" s="11">
        <f t="shared" si="17"/>
        <v>532500000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343</v>
      </c>
      <c r="H141" s="11">
        <f t="shared" si="15"/>
        <v>0</v>
      </c>
      <c r="I141" s="11">
        <f t="shared" si="13"/>
        <v>0</v>
      </c>
      <c r="J141" s="11">
        <f t="shared" si="16"/>
        <v>-343000000</v>
      </c>
      <c r="K141" s="11">
        <f t="shared" si="17"/>
        <v>343000000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329</v>
      </c>
      <c r="H142" s="11">
        <f t="shared" si="15"/>
        <v>1</v>
      </c>
      <c r="I142" s="11">
        <f t="shared" si="13"/>
        <v>95412904</v>
      </c>
      <c r="J142" s="11">
        <f t="shared" si="16"/>
        <v>26575216</v>
      </c>
      <c r="K142" s="11">
        <f t="shared" si="17"/>
        <v>68837688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309</v>
      </c>
      <c r="H143" s="11">
        <f t="shared" si="15"/>
        <v>0</v>
      </c>
      <c r="I143" s="11">
        <f t="shared" si="13"/>
        <v>0</v>
      </c>
      <c r="J143" s="11">
        <f t="shared" si="16"/>
        <v>-309000000</v>
      </c>
      <c r="K143" s="11">
        <f t="shared" si="17"/>
        <v>309000000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299</v>
      </c>
      <c r="H144" s="11">
        <f t="shared" si="15"/>
        <v>1</v>
      </c>
      <c r="I144" s="11">
        <f t="shared" si="13"/>
        <v>87865896</v>
      </c>
      <c r="J144" s="11">
        <f t="shared" si="16"/>
        <v>22247786</v>
      </c>
      <c r="K144" s="11">
        <f t="shared" si="17"/>
        <v>65618110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284</v>
      </c>
      <c r="H145" s="11">
        <f t="shared" si="15"/>
        <v>0</v>
      </c>
      <c r="I145" s="11">
        <f t="shared" si="13"/>
        <v>-2840000</v>
      </c>
      <c r="J145" s="11">
        <f t="shared" si="16"/>
        <v>-1420000</v>
      </c>
      <c r="K145" s="11">
        <f t="shared" si="17"/>
        <v>-1420000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279</v>
      </c>
      <c r="H146" s="11">
        <f t="shared" si="15"/>
        <v>0</v>
      </c>
      <c r="I146" s="11">
        <f t="shared" si="13"/>
        <v>-279139500</v>
      </c>
      <c r="J146" s="11">
        <f t="shared" si="16"/>
        <v>-279139500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273</v>
      </c>
      <c r="H147" s="11">
        <f t="shared" si="15"/>
        <v>0</v>
      </c>
      <c r="I147" s="11">
        <f t="shared" si="13"/>
        <v>-7371000000</v>
      </c>
      <c r="J147" s="11">
        <f t="shared" si="16"/>
        <v>0</v>
      </c>
      <c r="K147" s="11">
        <f t="shared" si="17"/>
        <v>-7371000000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270</v>
      </c>
      <c r="H148" s="11">
        <f t="shared" si="15"/>
        <v>1</v>
      </c>
      <c r="I148" s="11">
        <f t="shared" si="13"/>
        <v>67905284</v>
      </c>
      <c r="J148" s="11">
        <f t="shared" si="16"/>
        <v>17622190</v>
      </c>
      <c r="K148" s="11">
        <f t="shared" si="17"/>
        <v>50283094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262</v>
      </c>
      <c r="H149" s="11">
        <f t="shared" si="15"/>
        <v>1</v>
      </c>
      <c r="I149" s="11">
        <f t="shared" si="13"/>
        <v>13676400000</v>
      </c>
      <c r="J149" s="11">
        <f t="shared" si="16"/>
        <v>0</v>
      </c>
      <c r="K149" s="11">
        <f t="shared" si="17"/>
        <v>13676400000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255</v>
      </c>
      <c r="H150" s="11">
        <f t="shared" si="15"/>
        <v>0</v>
      </c>
      <c r="I150" s="11">
        <f t="shared" si="13"/>
        <v>-13260000000</v>
      </c>
      <c r="J150" s="11">
        <f t="shared" si="16"/>
        <v>0</v>
      </c>
      <c r="K150" s="11">
        <f t="shared" si="17"/>
        <v>-13260000000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250</v>
      </c>
      <c r="H151" s="99">
        <f t="shared" si="15"/>
        <v>0</v>
      </c>
      <c r="I151" s="99">
        <f t="shared" si="13"/>
        <v>-2000000000</v>
      </c>
      <c r="J151" s="99">
        <f t="shared" si="16"/>
        <v>-1693032750</v>
      </c>
      <c r="K151" s="11">
        <f t="shared" si="17"/>
        <v>-306967250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250</v>
      </c>
      <c r="H152" s="99">
        <f t="shared" si="15"/>
        <v>0</v>
      </c>
      <c r="I152" s="99">
        <f t="shared" si="13"/>
        <v>-7807500</v>
      </c>
      <c r="J152" s="99">
        <f t="shared" si="16"/>
        <v>0</v>
      </c>
      <c r="K152" s="99">
        <f t="shared" si="17"/>
        <v>-7807500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239</v>
      </c>
      <c r="H153" s="99">
        <f t="shared" si="15"/>
        <v>1</v>
      </c>
      <c r="I153" s="99">
        <f t="shared" si="13"/>
        <v>32150706</v>
      </c>
      <c r="J153" s="99">
        <f t="shared" si="16"/>
        <v>9788940</v>
      </c>
      <c r="K153" s="99">
        <f t="shared" si="17"/>
        <v>22361766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236</v>
      </c>
      <c r="H154" s="99">
        <f t="shared" si="15"/>
        <v>1</v>
      </c>
      <c r="I154" s="99">
        <f t="shared" si="13"/>
        <v>1603659270</v>
      </c>
      <c r="J154" s="99">
        <f t="shared" si="16"/>
        <v>1603659270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231</v>
      </c>
      <c r="H155" s="99">
        <f t="shared" si="15"/>
        <v>0</v>
      </c>
      <c r="I155" s="99">
        <f t="shared" si="13"/>
        <v>-46200000</v>
      </c>
      <c r="J155" s="99">
        <f t="shared" si="16"/>
        <v>0</v>
      </c>
      <c r="K155" s="99">
        <f t="shared" si="17"/>
        <v>-46200000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231</v>
      </c>
      <c r="H156" s="99">
        <f t="shared" si="15"/>
        <v>0</v>
      </c>
      <c r="I156" s="99">
        <f t="shared" si="13"/>
        <v>-57251040</v>
      </c>
      <c r="J156" s="99">
        <f t="shared" si="16"/>
        <v>0</v>
      </c>
      <c r="K156" s="99">
        <f t="shared" si="17"/>
        <v>-57251040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230</v>
      </c>
      <c r="H157" s="99">
        <f t="shared" si="15"/>
        <v>0</v>
      </c>
      <c r="I157" s="99">
        <f t="shared" si="13"/>
        <v>-37338200</v>
      </c>
      <c r="J157" s="99">
        <f t="shared" si="16"/>
        <v>0</v>
      </c>
      <c r="K157" s="99">
        <f t="shared" si="17"/>
        <v>-37338200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230</v>
      </c>
      <c r="H158" s="99">
        <f t="shared" si="15"/>
        <v>0</v>
      </c>
      <c r="I158" s="99">
        <f t="shared" si="13"/>
        <v>-690207000</v>
      </c>
      <c r="J158" s="99">
        <f t="shared" si="16"/>
        <v>0</v>
      </c>
      <c r="K158" s="99">
        <f t="shared" si="17"/>
        <v>-690207000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228</v>
      </c>
      <c r="H159" s="99">
        <f t="shared" si="15"/>
        <v>0</v>
      </c>
      <c r="I159" s="99">
        <f t="shared" si="13"/>
        <v>-228114000</v>
      </c>
      <c r="J159" s="99">
        <f t="shared" si="16"/>
        <v>0</v>
      </c>
      <c r="K159" s="99">
        <f t="shared" si="17"/>
        <v>-228114000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224</v>
      </c>
      <c r="H160" s="99">
        <f t="shared" si="15"/>
        <v>0</v>
      </c>
      <c r="I160" s="99">
        <f t="shared" si="13"/>
        <v>-22400000</v>
      </c>
      <c r="J160" s="99">
        <f t="shared" si="16"/>
        <v>0</v>
      </c>
      <c r="K160" s="99">
        <f t="shared" si="17"/>
        <v>-22400000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223</v>
      </c>
      <c r="H161" s="99">
        <f t="shared" si="15"/>
        <v>0</v>
      </c>
      <c r="I161" s="99">
        <f t="shared" si="13"/>
        <v>-446000000</v>
      </c>
      <c r="J161" s="99">
        <f t="shared" si="16"/>
        <v>0</v>
      </c>
      <c r="K161" s="99">
        <f t="shared" si="17"/>
        <v>-446000000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223</v>
      </c>
      <c r="H162" s="99">
        <f t="shared" si="15"/>
        <v>0</v>
      </c>
      <c r="I162" s="99">
        <f t="shared" si="13"/>
        <v>-223111500</v>
      </c>
      <c r="J162" s="99">
        <f t="shared" si="16"/>
        <v>0</v>
      </c>
      <c r="K162" s="99">
        <f t="shared" si="17"/>
        <v>-223111500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220</v>
      </c>
      <c r="H163" s="99">
        <f t="shared" si="15"/>
        <v>0</v>
      </c>
      <c r="I163" s="99">
        <f t="shared" si="13"/>
        <v>-1100000</v>
      </c>
      <c r="J163" s="99">
        <f t="shared" si="16"/>
        <v>0</v>
      </c>
      <c r="K163" s="99">
        <f t="shared" si="17"/>
        <v>-1100000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210</v>
      </c>
      <c r="H164" s="99">
        <f t="shared" si="15"/>
        <v>1</v>
      </c>
      <c r="I164" s="99">
        <f t="shared" si="13"/>
        <v>627000000</v>
      </c>
      <c r="J164" s="99">
        <f t="shared" si="16"/>
        <v>0</v>
      </c>
      <c r="K164" s="99">
        <f t="shared" si="17"/>
        <v>627000000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209</v>
      </c>
      <c r="H165" s="99">
        <f t="shared" si="15"/>
        <v>1</v>
      </c>
      <c r="I165" s="99">
        <f t="shared" si="13"/>
        <v>624000000</v>
      </c>
      <c r="J165" s="99">
        <f t="shared" si="16"/>
        <v>0</v>
      </c>
      <c r="K165" s="99">
        <f t="shared" si="17"/>
        <v>624000000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208</v>
      </c>
      <c r="H166" s="99">
        <f t="shared" si="15"/>
        <v>1</v>
      </c>
      <c r="I166" s="99">
        <f t="shared" si="13"/>
        <v>4204998</v>
      </c>
      <c r="J166" s="99">
        <f t="shared" si="16"/>
        <v>12387294</v>
      </c>
      <c r="K166" s="99">
        <f t="shared" si="17"/>
        <v>-8182296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203</v>
      </c>
      <c r="H167" s="99">
        <f t="shared" si="15"/>
        <v>0</v>
      </c>
      <c r="I167" s="99">
        <f t="shared" si="13"/>
        <v>-609182700</v>
      </c>
      <c r="J167" s="99">
        <f t="shared" si="16"/>
        <v>0</v>
      </c>
      <c r="K167" s="99">
        <f t="shared" si="17"/>
        <v>-609182700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185</v>
      </c>
      <c r="H168" s="99">
        <f t="shared" si="15"/>
        <v>0</v>
      </c>
      <c r="I168" s="99">
        <f t="shared" si="13"/>
        <v>-555166500</v>
      </c>
      <c r="J168" s="99">
        <f t="shared" si="16"/>
        <v>0</v>
      </c>
      <c r="K168" s="99">
        <f t="shared" si="17"/>
        <v>-555166500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177</v>
      </c>
      <c r="H169" s="99">
        <f t="shared" si="15"/>
        <v>1</v>
      </c>
      <c r="I169" s="99">
        <f t="shared" si="13"/>
        <v>3820080</v>
      </c>
      <c r="J169" s="99">
        <f t="shared" si="16"/>
        <v>12058640</v>
      </c>
      <c r="K169" s="99">
        <f t="shared" si="17"/>
        <v>-8238560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153</v>
      </c>
      <c r="H170" s="99">
        <f t="shared" si="15"/>
        <v>1</v>
      </c>
      <c r="I170" s="99">
        <f t="shared" si="13"/>
        <v>760000000</v>
      </c>
      <c r="J170" s="99">
        <f t="shared" si="16"/>
        <v>0</v>
      </c>
      <c r="K170" s="99">
        <f t="shared" si="17"/>
        <v>760000000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152</v>
      </c>
      <c r="H171" s="99">
        <f t="shared" si="15"/>
        <v>0</v>
      </c>
      <c r="I171" s="99">
        <f t="shared" si="13"/>
        <v>-760000000</v>
      </c>
      <c r="J171" s="99">
        <f t="shared" si="16"/>
        <v>0</v>
      </c>
      <c r="K171" s="99">
        <f t="shared" si="17"/>
        <v>-760000000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146</v>
      </c>
      <c r="H172" s="99">
        <f t="shared" si="15"/>
        <v>1</v>
      </c>
      <c r="I172" s="99">
        <f t="shared" si="13"/>
        <v>71920</v>
      </c>
      <c r="J172" s="99">
        <f t="shared" si="16"/>
        <v>9088745</v>
      </c>
      <c r="K172" s="99">
        <f t="shared" si="17"/>
        <v>-9016825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145</v>
      </c>
      <c r="H173" s="99">
        <f t="shared" si="15"/>
        <v>1</v>
      </c>
      <c r="I173" s="99">
        <f t="shared" si="13"/>
        <v>113040000</v>
      </c>
      <c r="J173" s="99">
        <f t="shared" si="16"/>
        <v>0</v>
      </c>
      <c r="K173" s="99">
        <f t="shared" si="17"/>
        <v>113040000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134</v>
      </c>
      <c r="H174" s="99">
        <f t="shared" si="15"/>
        <v>0</v>
      </c>
      <c r="I174" s="99">
        <f t="shared" si="13"/>
        <v>-4288000</v>
      </c>
      <c r="J174" s="99">
        <f t="shared" si="16"/>
        <v>0</v>
      </c>
      <c r="K174" s="99">
        <f t="shared" si="17"/>
        <v>-4288000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132</v>
      </c>
      <c r="H175" s="99">
        <f t="shared" si="15"/>
        <v>0</v>
      </c>
      <c r="I175" s="99">
        <f t="shared" si="13"/>
        <v>-99000000</v>
      </c>
      <c r="J175" s="99">
        <f t="shared" si="16"/>
        <v>0</v>
      </c>
      <c r="K175" s="99">
        <f t="shared" si="17"/>
        <v>-99000000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123</v>
      </c>
      <c r="H176" s="99">
        <f t="shared" si="15"/>
        <v>0</v>
      </c>
      <c r="I176" s="99">
        <f t="shared" si="13"/>
        <v>-1155708</v>
      </c>
      <c r="J176" s="99">
        <f t="shared" si="16"/>
        <v>0</v>
      </c>
      <c r="K176" s="99">
        <f t="shared" si="17"/>
        <v>-1155708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122</v>
      </c>
      <c r="H177" s="99">
        <f t="shared" si="15"/>
        <v>0</v>
      </c>
      <c r="I177" s="99">
        <f t="shared" si="13"/>
        <v>-5282600</v>
      </c>
      <c r="J177" s="99">
        <f t="shared" si="16"/>
        <v>0</v>
      </c>
      <c r="K177" s="99">
        <f t="shared" si="17"/>
        <v>-5282600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119</v>
      </c>
      <c r="H178" s="99">
        <f t="shared" si="15"/>
        <v>1</v>
      </c>
      <c r="I178" s="99">
        <f t="shared" si="13"/>
        <v>42480000</v>
      </c>
      <c r="J178" s="99">
        <f t="shared" si="16"/>
        <v>0</v>
      </c>
      <c r="K178" s="99">
        <f t="shared" si="17"/>
        <v>42480000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117</v>
      </c>
      <c r="H179" s="99">
        <f t="shared" si="15"/>
        <v>1</v>
      </c>
      <c r="I179" s="99">
        <f t="shared" si="13"/>
        <v>348000000</v>
      </c>
      <c r="J179" s="99">
        <f t="shared" si="16"/>
        <v>0</v>
      </c>
      <c r="K179" s="99">
        <f t="shared" si="17"/>
        <v>348000000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117</v>
      </c>
      <c r="H180" s="99">
        <f t="shared" si="15"/>
        <v>0</v>
      </c>
      <c r="I180" s="99">
        <f t="shared" si="13"/>
        <v>-1409850</v>
      </c>
      <c r="J180" s="99">
        <f t="shared" si="16"/>
        <v>0</v>
      </c>
      <c r="K180" s="99">
        <f t="shared" si="17"/>
        <v>-1409850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115</v>
      </c>
      <c r="H181" s="99">
        <f t="shared" si="15"/>
        <v>1</v>
      </c>
      <c r="I181" s="99">
        <f t="shared" si="13"/>
        <v>342000000</v>
      </c>
      <c r="J181" s="99">
        <f t="shared" si="16"/>
        <v>0</v>
      </c>
      <c r="K181" s="99">
        <f t="shared" si="17"/>
        <v>342000000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113</v>
      </c>
      <c r="H182" s="99">
        <f t="shared" si="15"/>
        <v>0</v>
      </c>
      <c r="I182" s="99">
        <f t="shared" si="13"/>
        <v>-4045400</v>
      </c>
      <c r="J182" s="99">
        <f t="shared" si="16"/>
        <v>0</v>
      </c>
      <c r="K182" s="99">
        <f t="shared" si="17"/>
        <v>-4045400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112</v>
      </c>
      <c r="H183" s="99">
        <f t="shared" si="15"/>
        <v>1</v>
      </c>
      <c r="I183" s="99">
        <f t="shared" si="13"/>
        <v>399600000</v>
      </c>
      <c r="J183" s="99">
        <f t="shared" si="16"/>
        <v>0</v>
      </c>
      <c r="K183" s="99">
        <f t="shared" si="17"/>
        <v>399600000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112</v>
      </c>
      <c r="H184" s="99">
        <f t="shared" si="15"/>
        <v>0</v>
      </c>
      <c r="I184" s="99">
        <f t="shared" si="13"/>
        <v>-3738224</v>
      </c>
      <c r="J184" s="99">
        <f t="shared" si="16"/>
        <v>0</v>
      </c>
      <c r="K184" s="99">
        <f t="shared" si="17"/>
        <v>-3738224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109</v>
      </c>
      <c r="H185" s="99">
        <f t="shared" si="15"/>
        <v>0</v>
      </c>
      <c r="I185" s="99">
        <f t="shared" si="13"/>
        <v>-1068200000</v>
      </c>
      <c r="J185" s="99">
        <f t="shared" si="16"/>
        <v>0</v>
      </c>
      <c r="K185" s="99">
        <f t="shared" si="17"/>
        <v>-1068200000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109</v>
      </c>
      <c r="H186" s="99">
        <f t="shared" si="15"/>
        <v>1</v>
      </c>
      <c r="I186" s="99">
        <f t="shared" si="13"/>
        <v>1944000000</v>
      </c>
      <c r="J186" s="99">
        <f t="shared" si="16"/>
        <v>0</v>
      </c>
      <c r="K186" s="99">
        <f t="shared" si="17"/>
        <v>1944000000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109</v>
      </c>
      <c r="H187" s="99">
        <f t="shared" si="15"/>
        <v>0</v>
      </c>
      <c r="I187" s="99">
        <f t="shared" si="13"/>
        <v>-981000000</v>
      </c>
      <c r="J187" s="99">
        <f t="shared" si="16"/>
        <v>0</v>
      </c>
      <c r="K187" s="99">
        <f t="shared" si="17"/>
        <v>-981000000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109</v>
      </c>
      <c r="H188" s="99">
        <f t="shared" si="15"/>
        <v>0</v>
      </c>
      <c r="I188" s="99">
        <f t="shared" si="13"/>
        <v>-1264400</v>
      </c>
      <c r="J188" s="99">
        <f t="shared" si="16"/>
        <v>0</v>
      </c>
      <c r="K188" s="99">
        <f t="shared" si="17"/>
        <v>-1264400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109</v>
      </c>
      <c r="H189" s="99">
        <f t="shared" si="15"/>
        <v>0</v>
      </c>
      <c r="I189" s="99">
        <f t="shared" si="13"/>
        <v>-360171643</v>
      </c>
      <c r="J189" s="99">
        <f t="shared" si="16"/>
        <v>0</v>
      </c>
      <c r="K189" s="99">
        <f t="shared" si="17"/>
        <v>-360171643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108</v>
      </c>
      <c r="H190" s="99">
        <f t="shared" si="15"/>
        <v>0</v>
      </c>
      <c r="I190" s="99">
        <f t="shared" si="13"/>
        <v>-324097200</v>
      </c>
      <c r="J190" s="99">
        <f t="shared" si="16"/>
        <v>0</v>
      </c>
      <c r="K190" s="99">
        <f t="shared" si="17"/>
        <v>-324097200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107</v>
      </c>
      <c r="H191" s="99">
        <f t="shared" si="15"/>
        <v>0</v>
      </c>
      <c r="I191" s="99">
        <f t="shared" si="13"/>
        <v>-295416300</v>
      </c>
      <c r="J191" s="99">
        <f t="shared" si="16"/>
        <v>0</v>
      </c>
      <c r="K191" s="99">
        <f t="shared" si="17"/>
        <v>-295416300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102</v>
      </c>
      <c r="H192" s="99">
        <f t="shared" si="15"/>
        <v>1</v>
      </c>
      <c r="I192" s="99">
        <f t="shared" si="13"/>
        <v>101000000</v>
      </c>
      <c r="J192" s="99">
        <f t="shared" si="16"/>
        <v>0</v>
      </c>
      <c r="K192" s="99">
        <f t="shared" si="17"/>
        <v>101000000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101</v>
      </c>
      <c r="H193" s="99">
        <f t="shared" si="15"/>
        <v>0</v>
      </c>
      <c r="I193" s="99">
        <f t="shared" si="13"/>
        <v>-1515000</v>
      </c>
      <c r="J193" s="99">
        <f t="shared" si="16"/>
        <v>0</v>
      </c>
      <c r="K193" s="99">
        <f t="shared" si="17"/>
        <v>-1515000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99</v>
      </c>
      <c r="H194" s="99">
        <f t="shared" si="15"/>
        <v>0</v>
      </c>
      <c r="I194" s="99">
        <f t="shared" si="13"/>
        <v>-98010000</v>
      </c>
      <c r="J194" s="99">
        <f t="shared" si="16"/>
        <v>0</v>
      </c>
      <c r="K194" s="99">
        <f t="shared" si="17"/>
        <v>-98010000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99</v>
      </c>
      <c r="H195" s="99">
        <f t="shared" si="15"/>
        <v>1</v>
      </c>
      <c r="I195" s="99">
        <f t="shared" si="13"/>
        <v>76734000</v>
      </c>
      <c r="J195" s="99">
        <f t="shared" si="16"/>
        <v>0</v>
      </c>
      <c r="K195" s="99">
        <f t="shared" si="17"/>
        <v>76734000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97</v>
      </c>
      <c r="H196" s="99">
        <f t="shared" si="15"/>
        <v>0</v>
      </c>
      <c r="I196" s="99">
        <f t="shared" si="13"/>
        <v>-72798500</v>
      </c>
      <c r="J196" s="99">
        <f t="shared" si="16"/>
        <v>0</v>
      </c>
      <c r="K196" s="99">
        <f t="shared" si="17"/>
        <v>-72798500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95</v>
      </c>
      <c r="H197" s="99">
        <f t="shared" si="15"/>
        <v>1</v>
      </c>
      <c r="I197" s="99">
        <f t="shared" si="13"/>
        <v>65800000</v>
      </c>
      <c r="J197" s="99">
        <f t="shared" si="16"/>
        <v>0</v>
      </c>
      <c r="K197" s="99">
        <f t="shared" si="17"/>
        <v>65800000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95</v>
      </c>
      <c r="H198" s="99">
        <f t="shared" si="15"/>
        <v>0</v>
      </c>
      <c r="I198" s="99">
        <f t="shared" si="13"/>
        <v>-9405000</v>
      </c>
      <c r="J198" s="99">
        <f t="shared" si="16"/>
        <v>0</v>
      </c>
      <c r="K198" s="99">
        <f t="shared" si="17"/>
        <v>-9405000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94</v>
      </c>
      <c r="H199" s="99">
        <f t="shared" si="15"/>
        <v>0</v>
      </c>
      <c r="I199" s="99">
        <f t="shared" si="13"/>
        <v>-19340500</v>
      </c>
      <c r="J199" s="99">
        <f t="shared" si="16"/>
        <v>0</v>
      </c>
      <c r="K199" s="99">
        <f t="shared" si="17"/>
        <v>-19340500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94</v>
      </c>
      <c r="H200" s="99">
        <f t="shared" si="15"/>
        <v>0</v>
      </c>
      <c r="I200" s="99">
        <f t="shared" si="13"/>
        <v>-8930000</v>
      </c>
      <c r="J200" s="99">
        <f t="shared" si="16"/>
        <v>0</v>
      </c>
      <c r="K200" s="99">
        <f t="shared" si="17"/>
        <v>-8930000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91</v>
      </c>
      <c r="H201" s="99">
        <f t="shared" si="15"/>
        <v>1</v>
      </c>
      <c r="I201" s="99">
        <f t="shared" si="13"/>
        <v>4378500000</v>
      </c>
      <c r="J201" s="99">
        <f t="shared" si="16"/>
        <v>0</v>
      </c>
      <c r="K201" s="99">
        <f t="shared" si="17"/>
        <v>4378500000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91</v>
      </c>
      <c r="H202" s="99">
        <f t="shared" si="15"/>
        <v>0</v>
      </c>
      <c r="I202" s="99">
        <f t="shared" si="13"/>
        <v>-273081900</v>
      </c>
      <c r="J202" s="99">
        <f t="shared" si="16"/>
        <v>0</v>
      </c>
      <c r="K202" s="99">
        <f t="shared" si="17"/>
        <v>-273081900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91</v>
      </c>
      <c r="H203" s="99">
        <f t="shared" si="15"/>
        <v>0</v>
      </c>
      <c r="I203" s="99">
        <f t="shared" si="13"/>
        <v>-455000</v>
      </c>
      <c r="J203" s="99">
        <f t="shared" si="16"/>
        <v>0</v>
      </c>
      <c r="K203" s="99">
        <f t="shared" si="17"/>
        <v>-455000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91</v>
      </c>
      <c r="H204" s="99">
        <f t="shared" si="15"/>
        <v>0</v>
      </c>
      <c r="I204" s="99">
        <f t="shared" si="13"/>
        <v>-3048500000</v>
      </c>
      <c r="J204" s="99">
        <f t="shared" si="16"/>
        <v>0</v>
      </c>
      <c r="K204" s="99">
        <f t="shared" si="17"/>
        <v>-3048500000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90</v>
      </c>
      <c r="H205" s="99">
        <f t="shared" si="15"/>
        <v>0</v>
      </c>
      <c r="I205" s="99">
        <f t="shared" si="13"/>
        <v>-1119150000</v>
      </c>
      <c r="J205" s="99">
        <f t="shared" si="16"/>
        <v>0</v>
      </c>
      <c r="K205" s="99">
        <f t="shared" si="17"/>
        <v>-1119150000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87</v>
      </c>
      <c r="H206" s="99">
        <f t="shared" si="15"/>
        <v>0</v>
      </c>
      <c r="I206" s="99">
        <f t="shared" si="13"/>
        <v>-1609500</v>
      </c>
      <c r="J206" s="99">
        <f t="shared" si="16"/>
        <v>0</v>
      </c>
      <c r="K206" s="99">
        <f t="shared" si="17"/>
        <v>-1609500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85</v>
      </c>
      <c r="H207" s="99">
        <f t="shared" si="15"/>
        <v>1</v>
      </c>
      <c r="I207" s="99">
        <f t="shared" si="13"/>
        <v>1216320</v>
      </c>
      <c r="J207" s="99">
        <f t="shared" ref="J207:J266" si="20">C207*(G207-H207)</f>
        <v>5953416</v>
      </c>
      <c r="K207" s="99">
        <f t="shared" si="17"/>
        <v>-4737096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84</v>
      </c>
      <c r="H208" s="99">
        <f t="shared" si="15"/>
        <v>1</v>
      </c>
      <c r="I208" s="99">
        <f t="shared" si="13"/>
        <v>68890000</v>
      </c>
      <c r="J208" s="99">
        <f t="shared" si="20"/>
        <v>0</v>
      </c>
      <c r="K208" s="99">
        <f t="shared" si="17"/>
        <v>68890000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82</v>
      </c>
      <c r="H209" s="99">
        <f t="shared" si="15"/>
        <v>0</v>
      </c>
      <c r="I209" s="99">
        <f t="shared" si="13"/>
        <v>-4300080</v>
      </c>
      <c r="J209" s="99">
        <f t="shared" si="20"/>
        <v>0</v>
      </c>
      <c r="K209" s="99">
        <f t="shared" si="17"/>
        <v>-4300080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81</v>
      </c>
      <c r="H210" s="99">
        <f t="shared" si="15"/>
        <v>0</v>
      </c>
      <c r="I210" s="99">
        <f t="shared" si="13"/>
        <v>-4139100</v>
      </c>
      <c r="J210" s="99">
        <f t="shared" si="20"/>
        <v>0</v>
      </c>
      <c r="K210" s="99">
        <f t="shared" si="17"/>
        <v>-4139100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80</v>
      </c>
      <c r="H211" s="99">
        <f t="shared" si="15"/>
        <v>0</v>
      </c>
      <c r="I211" s="99">
        <f t="shared" si="13"/>
        <v>-16000000</v>
      </c>
      <c r="J211" s="99">
        <f t="shared" si="20"/>
        <v>0</v>
      </c>
      <c r="K211" s="99">
        <f t="shared" si="17"/>
        <v>-16000000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79</v>
      </c>
      <c r="H212" s="99">
        <f t="shared" si="15"/>
        <v>0</v>
      </c>
      <c r="I212" s="99">
        <f t="shared" si="13"/>
        <v>-2212000</v>
      </c>
      <c r="J212" s="99">
        <f t="shared" si="20"/>
        <v>0</v>
      </c>
      <c r="K212" s="99">
        <f t="shared" si="17"/>
        <v>-2212000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78</v>
      </c>
      <c r="H213" s="99">
        <f t="shared" si="15"/>
        <v>0</v>
      </c>
      <c r="I213" s="99">
        <f t="shared" si="13"/>
        <v>-4609800</v>
      </c>
      <c r="J213" s="99">
        <f t="shared" si="20"/>
        <v>0</v>
      </c>
      <c r="K213" s="99">
        <f t="shared" si="17"/>
        <v>-4609800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77</v>
      </c>
      <c r="H214" s="99">
        <f t="shared" si="15"/>
        <v>0</v>
      </c>
      <c r="I214" s="99">
        <f t="shared" si="13"/>
        <v>-2310000</v>
      </c>
      <c r="J214" s="99">
        <f t="shared" si="20"/>
        <v>0</v>
      </c>
      <c r="K214" s="99">
        <f t="shared" si="17"/>
        <v>-2310000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77</v>
      </c>
      <c r="H215" s="99">
        <f t="shared" si="15"/>
        <v>0</v>
      </c>
      <c r="I215" s="99">
        <f t="shared" si="13"/>
        <v>-13706000</v>
      </c>
      <c r="J215" s="99">
        <f t="shared" si="20"/>
        <v>0</v>
      </c>
      <c r="K215" s="99">
        <f t="shared" si="17"/>
        <v>-13706000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76</v>
      </c>
      <c r="H216" s="99">
        <f t="shared" si="15"/>
        <v>0</v>
      </c>
      <c r="I216" s="99">
        <f t="shared" si="13"/>
        <v>-7266360</v>
      </c>
      <c r="J216" s="99">
        <f t="shared" si="20"/>
        <v>0</v>
      </c>
      <c r="K216" s="99">
        <f t="shared" si="17"/>
        <v>-7266360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73</v>
      </c>
      <c r="H217" s="99">
        <f t="shared" si="15"/>
        <v>0</v>
      </c>
      <c r="I217" s="99">
        <f t="shared" si="13"/>
        <v>-6132000</v>
      </c>
      <c r="J217" s="99">
        <f t="shared" si="20"/>
        <v>0</v>
      </c>
      <c r="K217" s="99">
        <f t="shared" si="17"/>
        <v>-6132000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71</v>
      </c>
      <c r="H218" s="99">
        <f t="shared" si="15"/>
        <v>0</v>
      </c>
      <c r="I218" s="99">
        <f t="shared" si="13"/>
        <v>-2343000</v>
      </c>
      <c r="J218" s="99">
        <f t="shared" si="20"/>
        <v>0</v>
      </c>
      <c r="K218" s="99">
        <f t="shared" si="17"/>
        <v>-2343000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68</v>
      </c>
      <c r="H219" s="99">
        <f t="shared" si="15"/>
        <v>1</v>
      </c>
      <c r="I219" s="99">
        <f t="shared" si="13"/>
        <v>103716000</v>
      </c>
      <c r="J219" s="99">
        <f t="shared" si="20"/>
        <v>0</v>
      </c>
      <c r="K219" s="99">
        <f t="shared" si="17"/>
        <v>103716000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67</v>
      </c>
      <c r="H220" s="99">
        <f t="shared" si="15"/>
        <v>0</v>
      </c>
      <c r="I220" s="99">
        <f t="shared" si="13"/>
        <v>-93846900</v>
      </c>
      <c r="J220" s="99">
        <f t="shared" si="20"/>
        <v>0</v>
      </c>
      <c r="K220" s="99">
        <f t="shared" si="17"/>
        <v>-93846900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67</v>
      </c>
      <c r="H221" s="99">
        <f t="shared" si="15"/>
        <v>0</v>
      </c>
      <c r="I221" s="99">
        <f t="shared" si="13"/>
        <v>-670000</v>
      </c>
      <c r="J221" s="99">
        <f t="shared" si="20"/>
        <v>0</v>
      </c>
      <c r="K221" s="99">
        <f t="shared" si="17"/>
        <v>-670000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67</v>
      </c>
      <c r="H222" s="99">
        <f t="shared" si="15"/>
        <v>0</v>
      </c>
      <c r="I222" s="99">
        <f t="shared" si="13"/>
        <v>-335000</v>
      </c>
      <c r="J222" s="99">
        <f t="shared" si="20"/>
        <v>-167500</v>
      </c>
      <c r="K222" s="99">
        <f t="shared" si="17"/>
        <v>-167500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61</v>
      </c>
      <c r="H223" s="99">
        <f t="shared" si="15"/>
        <v>0</v>
      </c>
      <c r="I223" s="99">
        <f t="shared" si="13"/>
        <v>-11590000</v>
      </c>
      <c r="J223" s="99">
        <f t="shared" si="20"/>
        <v>0</v>
      </c>
      <c r="K223" s="99">
        <f t="shared" si="17"/>
        <v>-11590000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54</v>
      </c>
      <c r="H224" s="99">
        <f t="shared" si="15"/>
        <v>1</v>
      </c>
      <c r="I224" s="99">
        <f t="shared" si="13"/>
        <v>101283</v>
      </c>
      <c r="J224" s="99">
        <f t="shared" si="20"/>
        <v>3443516</v>
      </c>
      <c r="K224" s="99">
        <f t="shared" si="17"/>
        <v>-3342233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48</v>
      </c>
      <c r="H225" s="99">
        <f t="shared" si="15"/>
        <v>1</v>
      </c>
      <c r="I225" s="99">
        <f t="shared" si="13"/>
        <v>235000000</v>
      </c>
      <c r="J225" s="99">
        <f t="shared" si="20"/>
        <v>0</v>
      </c>
      <c r="K225" s="99">
        <f t="shared" si="17"/>
        <v>235000000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47</v>
      </c>
      <c r="H226" s="99">
        <f t="shared" si="15"/>
        <v>0</v>
      </c>
      <c r="I226" s="99">
        <f t="shared" si="13"/>
        <v>-150400000</v>
      </c>
      <c r="J226" s="99">
        <f t="shared" si="20"/>
        <v>0</v>
      </c>
      <c r="K226" s="99">
        <f t="shared" si="17"/>
        <v>-150400000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47</v>
      </c>
      <c r="H227" s="99">
        <f t="shared" si="15"/>
        <v>1</v>
      </c>
      <c r="I227" s="99">
        <f t="shared" si="13"/>
        <v>110400000</v>
      </c>
      <c r="J227" s="99">
        <f t="shared" si="20"/>
        <v>0</v>
      </c>
      <c r="K227" s="99">
        <f t="shared" si="17"/>
        <v>110400000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45</v>
      </c>
      <c r="H228" s="99">
        <f t="shared" si="15"/>
        <v>0</v>
      </c>
      <c r="I228" s="99">
        <f t="shared" si="13"/>
        <v>-2250000</v>
      </c>
      <c r="J228" s="99">
        <f t="shared" si="20"/>
        <v>0</v>
      </c>
      <c r="K228" s="99">
        <f t="shared" si="17"/>
        <v>-2250000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44</v>
      </c>
      <c r="H229" s="99">
        <f t="shared" si="15"/>
        <v>0</v>
      </c>
      <c r="I229" s="99">
        <f t="shared" si="13"/>
        <v>-180430800</v>
      </c>
      <c r="J229" s="99">
        <f t="shared" si="20"/>
        <v>0</v>
      </c>
      <c r="K229" s="99">
        <f t="shared" si="17"/>
        <v>-180430800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40</v>
      </c>
      <c r="H230" s="99">
        <f t="shared" si="15"/>
        <v>1</v>
      </c>
      <c r="I230" s="99">
        <f t="shared" si="13"/>
        <v>378300000</v>
      </c>
      <c r="J230" s="99">
        <f t="shared" si="20"/>
        <v>0</v>
      </c>
      <c r="K230" s="99">
        <f t="shared" si="17"/>
        <v>378300000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40</v>
      </c>
      <c r="H231" s="99">
        <f t="shared" si="15"/>
        <v>0</v>
      </c>
      <c r="I231" s="99">
        <f t="shared" si="13"/>
        <v>-120036000</v>
      </c>
      <c r="J231" s="99">
        <f t="shared" si="20"/>
        <v>0</v>
      </c>
      <c r="K231" s="99">
        <f t="shared" si="17"/>
        <v>-120036000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39</v>
      </c>
      <c r="H232" s="99">
        <f t="shared" si="15"/>
        <v>0</v>
      </c>
      <c r="I232" s="99">
        <f t="shared" si="13"/>
        <v>-117035100</v>
      </c>
      <c r="J232" s="99">
        <f t="shared" si="20"/>
        <v>0</v>
      </c>
      <c r="K232" s="99">
        <f t="shared" si="17"/>
        <v>-117035100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39</v>
      </c>
      <c r="H233" s="99">
        <f t="shared" si="15"/>
        <v>0</v>
      </c>
      <c r="I233" s="99">
        <f t="shared" si="13"/>
        <v>-21645000</v>
      </c>
      <c r="J233" s="99">
        <f t="shared" si="20"/>
        <v>0</v>
      </c>
      <c r="K233" s="99">
        <f t="shared" si="17"/>
        <v>-21645000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38</v>
      </c>
      <c r="H234" s="99">
        <f t="shared" si="15"/>
        <v>0</v>
      </c>
      <c r="I234" s="99">
        <f t="shared" si="13"/>
        <v>-5257680</v>
      </c>
      <c r="J234" s="99">
        <f t="shared" si="20"/>
        <v>0</v>
      </c>
      <c r="K234" s="99">
        <f t="shared" si="17"/>
        <v>-5257680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37</v>
      </c>
      <c r="H235" s="99">
        <f t="shared" si="15"/>
        <v>0</v>
      </c>
      <c r="I235" s="99">
        <f t="shared" si="13"/>
        <v>-111033300</v>
      </c>
      <c r="J235" s="99">
        <f t="shared" si="20"/>
        <v>0</v>
      </c>
      <c r="K235" s="99">
        <f t="shared" si="17"/>
        <v>-111033300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35</v>
      </c>
      <c r="H236" s="99">
        <f t="shared" si="15"/>
        <v>0</v>
      </c>
      <c r="I236" s="99">
        <f t="shared" si="13"/>
        <v>-1925000</v>
      </c>
      <c r="J236" s="99">
        <f t="shared" si="20"/>
        <v>0</v>
      </c>
      <c r="K236" s="99">
        <f t="shared" si="17"/>
        <v>-1925000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31</v>
      </c>
      <c r="H237" s="99">
        <f t="shared" si="15"/>
        <v>1</v>
      </c>
      <c r="I237" s="99">
        <f t="shared" si="13"/>
        <v>181050000</v>
      </c>
      <c r="J237" s="99">
        <f t="shared" si="20"/>
        <v>0</v>
      </c>
      <c r="K237" s="99">
        <f t="shared" si="17"/>
        <v>181050000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29</v>
      </c>
      <c r="H238" s="99">
        <f t="shared" si="15"/>
        <v>0</v>
      </c>
      <c r="I238" s="99">
        <f t="shared" si="13"/>
        <v>-217500</v>
      </c>
      <c r="J238" s="99">
        <f t="shared" si="20"/>
        <v>0</v>
      </c>
      <c r="K238" s="99">
        <f t="shared" si="17"/>
        <v>-217500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28</v>
      </c>
      <c r="H239" s="99">
        <f t="shared" si="15"/>
        <v>0</v>
      </c>
      <c r="I239" s="99">
        <f t="shared" si="13"/>
        <v>-114758644</v>
      </c>
      <c r="J239" s="99">
        <f t="shared" si="20"/>
        <v>0</v>
      </c>
      <c r="K239" s="99">
        <f t="shared" si="17"/>
        <v>-114758644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28</v>
      </c>
      <c r="H240" s="99">
        <f t="shared" si="15"/>
        <v>0</v>
      </c>
      <c r="I240" s="99">
        <f t="shared" si="13"/>
        <v>-930300</v>
      </c>
      <c r="J240" s="99">
        <f t="shared" si="20"/>
        <v>0</v>
      </c>
      <c r="K240" s="99">
        <f t="shared" si="17"/>
        <v>-930300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28</v>
      </c>
      <c r="H241" s="99">
        <f t="shared" si="15"/>
        <v>0</v>
      </c>
      <c r="I241" s="99">
        <f t="shared" si="13"/>
        <v>-53060000</v>
      </c>
      <c r="J241" s="99">
        <f t="shared" si="20"/>
        <v>0</v>
      </c>
      <c r="K241" s="99">
        <f t="shared" si="17"/>
        <v>-53060000</v>
      </c>
    </row>
    <row r="242" spans="1:13">
      <c r="A242" s="99" t="s">
        <v>4462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21</v>
      </c>
      <c r="H242" s="99">
        <f t="shared" si="15"/>
        <v>1</v>
      </c>
      <c r="I242" s="99">
        <f t="shared" si="13"/>
        <v>50000000</v>
      </c>
      <c r="J242" s="99">
        <f t="shared" si="20"/>
        <v>0</v>
      </c>
      <c r="K242" s="99">
        <f t="shared" si="17"/>
        <v>50000000</v>
      </c>
    </row>
    <row r="243" spans="1:13">
      <c r="A243" s="99" t="s">
        <v>4465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19</v>
      </c>
      <c r="H243" s="99">
        <f t="shared" si="15"/>
        <v>0</v>
      </c>
      <c r="I243" s="99">
        <f t="shared" si="13"/>
        <v>-47500000</v>
      </c>
      <c r="J243" s="99">
        <f t="shared" si="20"/>
        <v>0</v>
      </c>
      <c r="K243" s="99">
        <f t="shared" si="17"/>
        <v>-47500000</v>
      </c>
    </row>
    <row r="244" spans="1:13">
      <c r="A244" s="99" t="s">
        <v>4475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17</v>
      </c>
      <c r="H244" s="99">
        <f t="shared" si="15"/>
        <v>1</v>
      </c>
      <c r="I244" s="99">
        <f t="shared" si="13"/>
        <v>17600000</v>
      </c>
      <c r="J244" s="99">
        <f t="shared" si="20"/>
        <v>0</v>
      </c>
      <c r="K244" s="99">
        <f t="shared" si="17"/>
        <v>17600000</v>
      </c>
    </row>
    <row r="245" spans="1:13">
      <c r="A245" s="99" t="s">
        <v>4482</v>
      </c>
      <c r="B245" s="18">
        <v>3000000</v>
      </c>
      <c r="C245" s="18">
        <v>0</v>
      </c>
      <c r="D245" s="18">
        <f t="shared" si="18"/>
        <v>3000000</v>
      </c>
      <c r="E245" s="99" t="s">
        <v>4484</v>
      </c>
      <c r="F245" s="99">
        <v>2</v>
      </c>
      <c r="G245" s="36">
        <f t="shared" si="21"/>
        <v>15</v>
      </c>
      <c r="H245" s="99">
        <f t="shared" si="15"/>
        <v>1</v>
      </c>
      <c r="I245" s="99">
        <f t="shared" si="13"/>
        <v>42000000</v>
      </c>
      <c r="J245" s="99">
        <f t="shared" si="20"/>
        <v>0</v>
      </c>
      <c r="K245" s="99">
        <f t="shared" si="17"/>
        <v>42000000</v>
      </c>
    </row>
    <row r="246" spans="1:13">
      <c r="A246" s="99" t="s">
        <v>4474</v>
      </c>
      <c r="B246" s="18">
        <v>-4040700</v>
      </c>
      <c r="C246" s="18">
        <v>0</v>
      </c>
      <c r="D246" s="18">
        <f t="shared" si="18"/>
        <v>-4040700</v>
      </c>
      <c r="E246" s="99" t="s">
        <v>4518</v>
      </c>
      <c r="F246" s="99">
        <v>0</v>
      </c>
      <c r="G246" s="36">
        <f t="shared" si="21"/>
        <v>13</v>
      </c>
      <c r="H246" s="99">
        <f t="shared" si="15"/>
        <v>0</v>
      </c>
      <c r="I246" s="99">
        <f t="shared" si="13"/>
        <v>-52529100</v>
      </c>
      <c r="J246" s="99">
        <f t="shared" si="20"/>
        <v>0</v>
      </c>
      <c r="K246" s="99">
        <f t="shared" si="17"/>
        <v>-52529100</v>
      </c>
    </row>
    <row r="247" spans="1:13">
      <c r="A247" s="99" t="s">
        <v>4474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13</v>
      </c>
      <c r="H247" s="99">
        <f t="shared" si="15"/>
        <v>1</v>
      </c>
      <c r="I247" s="99">
        <f t="shared" si="13"/>
        <v>5880000</v>
      </c>
      <c r="J247" s="99">
        <f t="shared" si="20"/>
        <v>0</v>
      </c>
      <c r="K247" s="99">
        <f t="shared" si="17"/>
        <v>5880000</v>
      </c>
    </row>
    <row r="248" spans="1:13">
      <c r="A248" s="99" t="s">
        <v>4523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12</v>
      </c>
      <c r="H248" s="99">
        <f t="shared" si="15"/>
        <v>1</v>
      </c>
      <c r="I248" s="99">
        <f t="shared" si="13"/>
        <v>15400000</v>
      </c>
      <c r="J248" s="99">
        <f t="shared" si="20"/>
        <v>0</v>
      </c>
      <c r="K248" s="99">
        <f t="shared" si="17"/>
        <v>15400000</v>
      </c>
      <c r="M248" t="s">
        <v>25</v>
      </c>
    </row>
    <row r="249" spans="1:13">
      <c r="A249" s="99" t="s">
        <v>4523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12</v>
      </c>
      <c r="H249" s="99">
        <f t="shared" si="15"/>
        <v>0</v>
      </c>
      <c r="I249" s="99">
        <f t="shared" si="13"/>
        <v>-18000000</v>
      </c>
      <c r="J249" s="99">
        <f t="shared" si="20"/>
        <v>0</v>
      </c>
      <c r="K249" s="99">
        <f t="shared" si="17"/>
        <v>-18000000</v>
      </c>
    </row>
    <row r="250" spans="1:13">
      <c r="A250" s="99" t="s">
        <v>4532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11</v>
      </c>
      <c r="H250" s="99">
        <f t="shared" si="15"/>
        <v>0</v>
      </c>
      <c r="I250" s="99">
        <f t="shared" si="13"/>
        <v>-1100000</v>
      </c>
      <c r="J250" s="99">
        <f t="shared" si="20"/>
        <v>0</v>
      </c>
      <c r="K250" s="99">
        <f t="shared" si="17"/>
        <v>-1100000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10</v>
      </c>
      <c r="H251" s="99">
        <f t="shared" si="15"/>
        <v>0</v>
      </c>
      <c r="I251" s="99">
        <f t="shared" si="13"/>
        <v>-139000</v>
      </c>
      <c r="J251" s="99">
        <f t="shared" si="20"/>
        <v>0</v>
      </c>
      <c r="K251" s="99">
        <f t="shared" si="17"/>
        <v>-139000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10</v>
      </c>
      <c r="H252" s="99">
        <f t="shared" si="15"/>
        <v>1</v>
      </c>
      <c r="I252" s="99">
        <f t="shared" si="13"/>
        <v>2700000</v>
      </c>
      <c r="J252" s="99">
        <f t="shared" si="20"/>
        <v>0</v>
      </c>
      <c r="K252" s="99">
        <f t="shared" si="17"/>
        <v>2700000</v>
      </c>
    </row>
    <row r="253" spans="1:13">
      <c r="A253" s="99" t="s">
        <v>4543</v>
      </c>
      <c r="B253" s="18">
        <v>12000000</v>
      </c>
      <c r="C253" s="18">
        <v>0</v>
      </c>
      <c r="D253" s="18">
        <f t="shared" si="18"/>
        <v>12000000</v>
      </c>
      <c r="E253" s="99" t="s">
        <v>4544</v>
      </c>
      <c r="F253" s="99">
        <v>1</v>
      </c>
      <c r="G253" s="36">
        <f t="shared" si="21"/>
        <v>8</v>
      </c>
      <c r="H253" s="99">
        <f t="shared" si="15"/>
        <v>1</v>
      </c>
      <c r="I253" s="99">
        <f t="shared" si="13"/>
        <v>84000000</v>
      </c>
      <c r="J253" s="99">
        <f t="shared" si="20"/>
        <v>0</v>
      </c>
      <c r="K253" s="99">
        <f t="shared" si="17"/>
        <v>84000000</v>
      </c>
    </row>
    <row r="254" spans="1:13">
      <c r="A254" s="99" t="s">
        <v>4545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7</v>
      </c>
      <c r="H254" s="99">
        <f t="shared" si="15"/>
        <v>1</v>
      </c>
      <c r="I254" s="99">
        <f t="shared" si="13"/>
        <v>18000000</v>
      </c>
      <c r="J254" s="99">
        <f t="shared" si="20"/>
        <v>0</v>
      </c>
      <c r="K254" s="99">
        <f t="shared" si="17"/>
        <v>18000000</v>
      </c>
    </row>
    <row r="255" spans="1:13">
      <c r="A255" s="99" t="s">
        <v>4547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6</v>
      </c>
      <c r="H255" s="99">
        <f t="shared" si="15"/>
        <v>0</v>
      </c>
      <c r="I255" s="99">
        <f t="shared" si="13"/>
        <v>-84000000</v>
      </c>
      <c r="J255" s="99">
        <f t="shared" si="20"/>
        <v>0</v>
      </c>
      <c r="K255" s="99">
        <f t="shared" si="17"/>
        <v>-84000000</v>
      </c>
    </row>
    <row r="256" spans="1:13">
      <c r="A256" s="99" t="s">
        <v>4550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5</v>
      </c>
      <c r="H256" s="99">
        <f t="shared" si="15"/>
        <v>0</v>
      </c>
      <c r="I256" s="99">
        <f t="shared" si="13"/>
        <v>-624845</v>
      </c>
      <c r="J256" s="99">
        <f t="shared" si="20"/>
        <v>0</v>
      </c>
      <c r="K256" s="99">
        <f t="shared" si="17"/>
        <v>-624845</v>
      </c>
    </row>
    <row r="257" spans="1:11">
      <c r="A257" s="99" t="s">
        <v>4550</v>
      </c>
      <c r="B257" s="18">
        <v>0</v>
      </c>
      <c r="C257" s="39">
        <v>-7968789</v>
      </c>
      <c r="D257" s="39">
        <f t="shared" si="18"/>
        <v>7968789</v>
      </c>
      <c r="E257" s="99" t="s">
        <v>4554</v>
      </c>
      <c r="F257" s="99">
        <v>1</v>
      </c>
      <c r="G257" s="36">
        <f t="shared" si="21"/>
        <v>5</v>
      </c>
      <c r="H257" s="99">
        <f t="shared" si="15"/>
        <v>0</v>
      </c>
      <c r="I257" s="99">
        <f t="shared" si="13"/>
        <v>0</v>
      </c>
      <c r="J257" s="99">
        <f t="shared" si="20"/>
        <v>-39843945</v>
      </c>
      <c r="K257" s="99">
        <f t="shared" si="17"/>
        <v>39843945</v>
      </c>
    </row>
    <row r="258" spans="1:11">
      <c r="A258" s="99" t="s">
        <v>4556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4</v>
      </c>
      <c r="H258" s="99">
        <f t="shared" si="15"/>
        <v>0</v>
      </c>
      <c r="I258" s="99">
        <f t="shared" si="13"/>
        <v>-5252000</v>
      </c>
      <c r="J258" s="99">
        <f t="shared" si="20"/>
        <v>0</v>
      </c>
      <c r="K258" s="99">
        <f t="shared" si="17"/>
        <v>-5252000</v>
      </c>
    </row>
    <row r="259" spans="1:11">
      <c r="A259" s="99" t="s">
        <v>4576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1</v>
      </c>
      <c r="H259" s="99">
        <f t="shared" si="15"/>
        <v>1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 t="s">
        <v>4578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305201</v>
      </c>
      <c r="C267" s="29">
        <f>SUM(C2:C262)</f>
        <v>0</v>
      </c>
      <c r="D267" s="29">
        <f>SUM(D2:D263)</f>
        <v>305201</v>
      </c>
      <c r="E267" s="11"/>
      <c r="F267" s="11"/>
      <c r="G267" s="11"/>
      <c r="H267" s="11"/>
      <c r="I267" s="29">
        <f>SUM(I2:I266)</f>
        <v>18834145316</v>
      </c>
      <c r="J267" s="29">
        <f>SUM(J2:J266)</f>
        <v>8687685429</v>
      </c>
      <c r="K267" s="29">
        <f>SUM(K2:K266)</f>
        <v>10146459887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19238146.390194077</v>
      </c>
      <c r="J270" s="29">
        <f>J267/G2</f>
        <v>8874040.2747701742</v>
      </c>
      <c r="K270" s="29">
        <f>K267/G2</f>
        <v>10364106.115423903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1501840</v>
      </c>
      <c r="G274" t="s">
        <v>25</v>
      </c>
      <c r="J274">
        <f>J267/I267*1448696</f>
        <v>668244.55896911188</v>
      </c>
      <c r="K274">
        <f>K267/I267*1448696</f>
        <v>780451.44103088812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4460</v>
      </c>
      <c r="B22" s="18">
        <v>7964</v>
      </c>
      <c r="C22" s="18">
        <v>65497</v>
      </c>
      <c r="D22" s="113">
        <f t="shared" si="0"/>
        <v>-57533</v>
      </c>
      <c r="E22" s="19" t="s">
        <v>4461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4445</v>
      </c>
    </row>
    <row r="97" spans="4:7">
      <c r="D97" s="114">
        <v>-29231</v>
      </c>
      <c r="E97" s="54" t="s">
        <v>4446</v>
      </c>
    </row>
    <row r="98" spans="4:7">
      <c r="D98" s="114">
        <v>1000000</v>
      </c>
      <c r="E98" s="54" t="s">
        <v>4448</v>
      </c>
    </row>
    <row r="99" spans="4:7">
      <c r="D99" s="114">
        <v>-35250</v>
      </c>
      <c r="E99" s="54" t="s">
        <v>4449</v>
      </c>
    </row>
    <row r="100" spans="4:7">
      <c r="D100" s="114">
        <v>-57477</v>
      </c>
      <c r="E100" s="54" t="s">
        <v>4450</v>
      </c>
    </row>
    <row r="101" spans="4:7">
      <c r="D101" s="114">
        <v>-13565</v>
      </c>
      <c r="E101" s="54" t="s">
        <v>4451</v>
      </c>
    </row>
    <row r="102" spans="4:7">
      <c r="D102" s="114">
        <v>-9429</v>
      </c>
      <c r="E102" s="54" t="s">
        <v>4452</v>
      </c>
    </row>
    <row r="103" spans="4:7">
      <c r="D103" s="114">
        <v>-600000</v>
      </c>
      <c r="E103" s="54" t="s">
        <v>4453</v>
      </c>
    </row>
    <row r="104" spans="4:7">
      <c r="D104" s="114">
        <v>335</v>
      </c>
      <c r="E104" s="54" t="s">
        <v>4455</v>
      </c>
    </row>
    <row r="105" spans="4:7">
      <c r="D105" s="114">
        <v>31026</v>
      </c>
      <c r="E105" s="54" t="s">
        <v>4456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3" t="s">
        <v>1089</v>
      </c>
      <c r="R21" s="213"/>
      <c r="S21" s="213"/>
      <c r="T21" s="213"/>
      <c r="U21" s="96"/>
      <c r="V21" s="96"/>
      <c r="W21" s="96"/>
      <c r="X21" s="96"/>
      <c r="Y21" s="96"/>
      <c r="Z21" s="96"/>
    </row>
    <row r="22" spans="5:35">
      <c r="O22" s="99"/>
      <c r="P22" s="99"/>
      <c r="Q22" s="213"/>
      <c r="R22" s="213"/>
      <c r="S22" s="213"/>
      <c r="T22" s="213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4" t="s">
        <v>1090</v>
      </c>
      <c r="R23" s="215" t="s">
        <v>1091</v>
      </c>
      <c r="S23" s="214" t="s">
        <v>1092</v>
      </c>
      <c r="T23" s="216" t="s">
        <v>1093</v>
      </c>
      <c r="AD23" t="s">
        <v>25</v>
      </c>
    </row>
    <row r="24" spans="5:35">
      <c r="O24" s="99"/>
      <c r="P24" s="99"/>
      <c r="Q24" s="214"/>
      <c r="R24" s="215"/>
      <c r="S24" s="214"/>
      <c r="T24" s="216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9"/>
  <sheetViews>
    <sheetView tabSelected="1" topLeftCell="K88" zoomScaleNormal="100" workbookViewId="0">
      <selection activeCell="O111" sqref="O11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305201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4494</v>
      </c>
      <c r="N20" s="113">
        <v>147902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S52</f>
        <v>83</v>
      </c>
      <c r="T20" s="169" t="s">
        <v>4320</v>
      </c>
      <c r="U20" s="169">
        <v>192.1</v>
      </c>
      <c r="V20" s="169">
        <f t="shared" ref="V20:V31" si="4">U20*(1+$N$83+$Q$15*S20/36500)</f>
        <v>206.48276383561645</v>
      </c>
      <c r="W20" s="32">
        <f t="shared" ref="W20:W31" si="5">V20*(1+$W$19/100)</f>
        <v>210.61241911232878</v>
      </c>
      <c r="X20" s="32">
        <f t="shared" ref="X20:X31" si="6">V20*(1+$X$19/100)</f>
        <v>214.74207438904111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254</v>
      </c>
      <c r="AM20" s="113">
        <f>AJ20*AL20</f>
        <v>4572000000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4507</v>
      </c>
      <c r="L21" s="117">
        <f>-N34</f>
        <v>78463902.151422665</v>
      </c>
      <c r="M21" s="169" t="s">
        <v>4312</v>
      </c>
      <c r="N21" s="113">
        <f t="shared" ref="N21:N31" si="7">O21*P21</f>
        <v>10900395</v>
      </c>
      <c r="O21" s="99">
        <v>63745</v>
      </c>
      <c r="P21" s="190">
        <f>P45</f>
        <v>171</v>
      </c>
      <c r="Q21" s="170">
        <v>1450345</v>
      </c>
      <c r="R21" s="169" t="s">
        <v>4316</v>
      </c>
      <c r="S21" s="196">
        <f>S20-36</f>
        <v>47</v>
      </c>
      <c r="T21" s="169" t="s">
        <v>4321</v>
      </c>
      <c r="U21" s="169">
        <v>313.7</v>
      </c>
      <c r="V21" s="169">
        <f t="shared" si="4"/>
        <v>328.52382904109595</v>
      </c>
      <c r="W21" s="32">
        <f t="shared" si="5"/>
        <v>335.0943056219179</v>
      </c>
      <c r="X21" s="32">
        <f t="shared" si="6"/>
        <v>341.66478220273979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253</v>
      </c>
      <c r="AM21" s="113">
        <f t="shared" ref="AM21:AM101" si="9">AJ21*AL21</f>
        <v>632500000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L63</f>
        <v>265968254.15142268</v>
      </c>
      <c r="G22" s="95">
        <f t="shared" si="0"/>
        <v>2006158.5647706091</v>
      </c>
      <c r="H22" s="11"/>
      <c r="I22" s="96"/>
      <c r="J22" s="96"/>
      <c r="K22" s="169" t="s">
        <v>4510</v>
      </c>
      <c r="L22" s="117">
        <f>-'آذر 97'!D49</f>
        <v>-2238679</v>
      </c>
      <c r="M22" s="169" t="s">
        <v>4325</v>
      </c>
      <c r="N22" s="113">
        <f t="shared" si="7"/>
        <v>9806620.7999999989</v>
      </c>
      <c r="O22" s="99">
        <v>33504</v>
      </c>
      <c r="P22" s="190">
        <f>P48</f>
        <v>292.7</v>
      </c>
      <c r="Q22" s="170">
        <v>400069</v>
      </c>
      <c r="R22" s="169" t="s">
        <v>4322</v>
      </c>
      <c r="S22" s="196">
        <f>S21-1</f>
        <v>46</v>
      </c>
      <c r="T22" s="169" t="s">
        <v>4323</v>
      </c>
      <c r="U22" s="169">
        <v>314.8</v>
      </c>
      <c r="V22" s="169">
        <f t="shared" si="4"/>
        <v>329.4343189041096</v>
      </c>
      <c r="W22" s="32">
        <f t="shared" si="5"/>
        <v>336.02300528219178</v>
      </c>
      <c r="X22" s="32">
        <f t="shared" si="6"/>
        <v>342.611691660274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252</v>
      </c>
      <c r="AM22" s="113">
        <f t="shared" si="9"/>
        <v>2016000000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4467</v>
      </c>
      <c r="N23" s="113">
        <f t="shared" si="7"/>
        <v>234372.59999999998</v>
      </c>
      <c r="O23" s="99">
        <v>399</v>
      </c>
      <c r="P23" s="190">
        <f>P47</f>
        <v>587.4</v>
      </c>
      <c r="Q23" s="170">
        <v>8690518</v>
      </c>
      <c r="R23" s="169" t="s">
        <v>4322</v>
      </c>
      <c r="S23" s="196">
        <f>S22</f>
        <v>46</v>
      </c>
      <c r="T23" s="169" t="s">
        <v>4324</v>
      </c>
      <c r="U23" s="169">
        <v>313</v>
      </c>
      <c r="V23" s="169">
        <f t="shared" si="4"/>
        <v>327.55064109589046</v>
      </c>
      <c r="W23" s="32">
        <f t="shared" si="5"/>
        <v>334.10165391780828</v>
      </c>
      <c r="X23" s="32">
        <f t="shared" si="6"/>
        <v>340.6526667397261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251</v>
      </c>
      <c r="AM23" s="113">
        <f t="shared" si="9"/>
        <v>-19967552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3443116.6</v>
      </c>
      <c r="O24" s="99">
        <v>781</v>
      </c>
      <c r="P24" s="99">
        <f>P49</f>
        <v>4408.6000000000004</v>
      </c>
      <c r="Q24" s="170">
        <v>595156</v>
      </c>
      <c r="R24" s="169" t="s">
        <v>4412</v>
      </c>
      <c r="S24" s="197">
        <f>S23-16</f>
        <v>30</v>
      </c>
      <c r="T24" s="169" t="s">
        <v>4415</v>
      </c>
      <c r="U24" s="169">
        <v>5808.5</v>
      </c>
      <c r="V24" s="169">
        <f t="shared" si="4"/>
        <v>6007.2302684931519</v>
      </c>
      <c r="W24" s="32">
        <f t="shared" si="5"/>
        <v>6127.3748738630147</v>
      </c>
      <c r="X24" s="32">
        <f t="shared" si="6"/>
        <v>6247.5194792328784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250</v>
      </c>
      <c r="AM24" s="113">
        <f t="shared" si="9"/>
        <v>41375000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4444</v>
      </c>
      <c r="N25" s="113">
        <f t="shared" si="7"/>
        <v>134820</v>
      </c>
      <c r="O25" s="69">
        <v>749</v>
      </c>
      <c r="P25" s="99">
        <v>180</v>
      </c>
      <c r="Q25" s="170">
        <v>142593</v>
      </c>
      <c r="R25" s="169" t="s">
        <v>4439</v>
      </c>
      <c r="S25" s="169">
        <f>S24-5</f>
        <v>25</v>
      </c>
      <c r="T25" s="169" t="s">
        <v>4447</v>
      </c>
      <c r="U25" s="169">
        <v>189.5</v>
      </c>
      <c r="V25" s="169">
        <f t="shared" si="4"/>
        <v>195.2566465753425</v>
      </c>
      <c r="W25" s="32">
        <f t="shared" si="5"/>
        <v>199.16177950684934</v>
      </c>
      <c r="X25" s="32">
        <f t="shared" si="6"/>
        <v>203.06691243835621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238</v>
      </c>
      <c r="AM25" s="113">
        <f t="shared" si="9"/>
        <v>-6861617826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 t="s">
        <v>4572</v>
      </c>
      <c r="N26" s="113">
        <f t="shared" si="7"/>
        <v>25200</v>
      </c>
      <c r="O26" s="69">
        <v>80</v>
      </c>
      <c r="P26" s="99">
        <f>P51</f>
        <v>315</v>
      </c>
      <c r="Q26" s="170">
        <v>1484689</v>
      </c>
      <c r="R26" s="169" t="s">
        <v>4454</v>
      </c>
      <c r="S26" s="169">
        <f>S25-2</f>
        <v>23</v>
      </c>
      <c r="T26" s="19" t="s">
        <v>4457</v>
      </c>
      <c r="U26" s="169">
        <v>5474</v>
      </c>
      <c r="V26" s="169">
        <f t="shared" si="4"/>
        <v>5631.8911561643836</v>
      </c>
      <c r="W26" s="32">
        <f t="shared" si="5"/>
        <v>5744.5289792876711</v>
      </c>
      <c r="X26" s="32">
        <f t="shared" si="6"/>
        <v>5857.1668024109595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232</v>
      </c>
      <c r="AM26" s="113">
        <f t="shared" si="9"/>
        <v>4292000000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/>
      <c r="N27" s="113"/>
      <c r="O27" s="69"/>
      <c r="P27" s="99"/>
      <c r="Q27" s="170">
        <v>2197673</v>
      </c>
      <c r="R27" s="169" t="s">
        <v>4454</v>
      </c>
      <c r="S27" s="169">
        <f>S26</f>
        <v>23</v>
      </c>
      <c r="T27" s="19" t="s">
        <v>4458</v>
      </c>
      <c r="U27" s="169">
        <v>5349</v>
      </c>
      <c r="V27" s="169">
        <f t="shared" si="4"/>
        <v>5503.2856767123294</v>
      </c>
      <c r="W27" s="32">
        <f t="shared" si="5"/>
        <v>5613.3513902465756</v>
      </c>
      <c r="X27" s="32">
        <f t="shared" si="6"/>
        <v>5723.4171037808228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231</v>
      </c>
      <c r="AM27" s="113">
        <f t="shared" si="9"/>
        <v>-4285050000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4496</v>
      </c>
      <c r="N28" s="113">
        <v>94075</v>
      </c>
      <c r="O28" s="69"/>
      <c r="P28" s="99"/>
      <c r="Q28" s="170">
        <v>1353959</v>
      </c>
      <c r="R28" s="169" t="s">
        <v>4454</v>
      </c>
      <c r="S28" s="204">
        <f>S27</f>
        <v>23</v>
      </c>
      <c r="T28" s="19" t="s">
        <v>4512</v>
      </c>
      <c r="U28" s="169">
        <v>192.2</v>
      </c>
      <c r="V28" s="169">
        <f t="shared" si="4"/>
        <v>197.74378520547947</v>
      </c>
      <c r="W28" s="32">
        <f t="shared" si="5"/>
        <v>201.69866090958905</v>
      </c>
      <c r="X28" s="32">
        <f t="shared" si="6"/>
        <v>205.65353661369866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230</v>
      </c>
      <c r="AM28" s="113">
        <f t="shared" si="9"/>
        <v>-14941030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4463</v>
      </c>
      <c r="N29" s="113">
        <f t="shared" si="7"/>
        <v>2507031</v>
      </c>
      <c r="O29" s="69">
        <v>14661</v>
      </c>
      <c r="P29" s="99">
        <f>P45</f>
        <v>171</v>
      </c>
      <c r="Q29" s="170">
        <v>1614398</v>
      </c>
      <c r="R29" s="169" t="s">
        <v>4462</v>
      </c>
      <c r="S29" s="169">
        <f>S28-3</f>
        <v>20</v>
      </c>
      <c r="T29" s="19" t="s">
        <v>4569</v>
      </c>
      <c r="U29" s="169">
        <v>184.6</v>
      </c>
      <c r="V29" s="169">
        <f t="shared" si="4"/>
        <v>189.49973917808222</v>
      </c>
      <c r="W29" s="32">
        <f t="shared" si="5"/>
        <v>193.28973396164386</v>
      </c>
      <c r="X29" s="32">
        <f t="shared" si="6"/>
        <v>197.07972874520553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225</v>
      </c>
      <c r="AM29" s="113">
        <f t="shared" si="9"/>
        <v>1440000000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4572</v>
      </c>
      <c r="N30" s="113">
        <f t="shared" si="7"/>
        <v>25200</v>
      </c>
      <c r="O30" s="36">
        <v>80</v>
      </c>
      <c r="P30" s="99">
        <f>P51</f>
        <v>315</v>
      </c>
      <c r="Q30" s="170">
        <v>146296</v>
      </c>
      <c r="R30" s="169" t="s">
        <v>4465</v>
      </c>
      <c r="S30" s="203">
        <f>S29-2</f>
        <v>18</v>
      </c>
      <c r="T30" s="169" t="s">
        <v>4466</v>
      </c>
      <c r="U30" s="169">
        <v>365</v>
      </c>
      <c r="V30" s="169">
        <f t="shared" si="4"/>
        <v>374.12800000000004</v>
      </c>
      <c r="W30" s="32">
        <f t="shared" si="5"/>
        <v>381.61056000000008</v>
      </c>
      <c r="X30" s="32">
        <f t="shared" si="6"/>
        <v>389.09312000000006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224</v>
      </c>
      <c r="AM30" s="113">
        <f t="shared" si="9"/>
        <v>-38080000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/>
      <c r="L31" s="117"/>
      <c r="M31" s="194" t="s">
        <v>4470</v>
      </c>
      <c r="N31" s="113">
        <f t="shared" si="7"/>
        <v>233785.19999999998</v>
      </c>
      <c r="O31" s="36">
        <v>398</v>
      </c>
      <c r="P31" s="99">
        <f>P47</f>
        <v>587.4</v>
      </c>
      <c r="Q31" s="170">
        <v>24997</v>
      </c>
      <c r="R31" s="169" t="s">
        <v>4567</v>
      </c>
      <c r="S31" s="203">
        <f>S30-16</f>
        <v>2</v>
      </c>
      <c r="T31" s="169" t="s">
        <v>4574</v>
      </c>
      <c r="U31" s="169">
        <v>315</v>
      </c>
      <c r="V31" s="169">
        <f t="shared" si="4"/>
        <v>319.01128767123294</v>
      </c>
      <c r="W31" s="32">
        <f t="shared" si="5"/>
        <v>325.3915134246576</v>
      </c>
      <c r="X31" s="32">
        <f t="shared" si="6"/>
        <v>331.77173917808227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219</v>
      </c>
      <c r="AM31" s="113">
        <f t="shared" si="9"/>
        <v>-1379700000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/>
      <c r="N32" s="113"/>
      <c r="P32" t="s">
        <v>25</v>
      </c>
      <c r="Q32" s="170"/>
      <c r="R32" s="169"/>
      <c r="S32" s="169"/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218</v>
      </c>
      <c r="AM32" s="113">
        <f t="shared" si="9"/>
        <v>-11339270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25</v>
      </c>
      <c r="L33" s="117"/>
      <c r="M33" s="169" t="s">
        <v>756</v>
      </c>
      <c r="N33" s="113">
        <v>3000000</v>
      </c>
      <c r="O33" t="s">
        <v>25</v>
      </c>
      <c r="P33" t="s">
        <v>25</v>
      </c>
      <c r="Q33" s="170">
        <f>SUM(N21:N26)-SUM(Q20:Q32)</f>
        <v>-2825155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202</v>
      </c>
      <c r="AM33" s="113">
        <f t="shared" si="9"/>
        <v>4043514800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918</v>
      </c>
      <c r="L34" s="117">
        <v>4800000</v>
      </c>
      <c r="M34" s="169" t="s">
        <v>4152</v>
      </c>
      <c r="N34" s="113">
        <f>-S95</f>
        <v>-78463902.151422665</v>
      </c>
      <c r="O34" s="96" t="s">
        <v>25</v>
      </c>
      <c r="P34" s="96" t="s">
        <v>25</v>
      </c>
      <c r="R34" s="115"/>
      <c r="S34" s="115" t="s">
        <v>25</v>
      </c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202</v>
      </c>
      <c r="AM34" s="113">
        <f t="shared" si="9"/>
        <v>204922132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4474</v>
      </c>
      <c r="AU34" s="99" t="s">
        <v>4530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753</v>
      </c>
      <c r="N35" s="113">
        <v>500000</v>
      </c>
      <c r="O35" s="96"/>
      <c r="P35" s="96"/>
      <c r="Q35" s="96"/>
      <c r="R35" s="115"/>
      <c r="S35" s="115"/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190</v>
      </c>
      <c r="AM35" s="113">
        <f t="shared" si="9"/>
        <v>68400000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4523</v>
      </c>
      <c r="AU35" s="99" t="s">
        <v>4529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1086</v>
      </c>
      <c r="L36" s="117">
        <f>61*P15</f>
        <v>234850000</v>
      </c>
      <c r="M36" s="169" t="s">
        <v>760</v>
      </c>
      <c r="N36" s="113">
        <v>1200000</v>
      </c>
      <c r="O36" t="s">
        <v>25</v>
      </c>
      <c r="P36" t="s">
        <v>25</v>
      </c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188</v>
      </c>
      <c r="AM36" s="113">
        <f t="shared" si="9"/>
        <v>-65800000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4567</v>
      </c>
      <c r="AU36" s="99" t="s">
        <v>4568</v>
      </c>
      <c r="AV36" s="170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4479</v>
      </c>
      <c r="L37" s="117">
        <v>-50000000</v>
      </c>
      <c r="M37" s="73"/>
      <c r="N37" s="113"/>
      <c r="O37" s="96"/>
      <c r="P37" s="96"/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4380</v>
      </c>
      <c r="V37" s="73" t="s">
        <v>4382</v>
      </c>
      <c r="W37" s="32">
        <v>2</v>
      </c>
      <c r="X37" s="32">
        <v>4</v>
      </c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188</v>
      </c>
      <c r="AM37" s="113">
        <f t="shared" si="9"/>
        <v>188000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 t="s">
        <v>4336</v>
      </c>
      <c r="L38" s="117">
        <v>-2000000</v>
      </c>
      <c r="M38" s="169" t="s">
        <v>1086</v>
      </c>
      <c r="N38" s="113">
        <f>65*P15</f>
        <v>250250000</v>
      </c>
      <c r="O38" s="96"/>
      <c r="P38" s="96"/>
      <c r="Q38" s="169">
        <v>0</v>
      </c>
      <c r="R38" s="169" t="s">
        <v>4175</v>
      </c>
      <c r="S38" s="169">
        <f>S52</f>
        <v>83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187</v>
      </c>
      <c r="AM38" s="113">
        <f t="shared" si="9"/>
        <v>6285070000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4474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 t="s">
        <v>4557</v>
      </c>
      <c r="L39" s="117">
        <v>-2000000</v>
      </c>
      <c r="M39" s="169" t="s">
        <v>4477</v>
      </c>
      <c r="N39" s="113">
        <v>-20000000</v>
      </c>
      <c r="O39" s="96"/>
      <c r="P39" s="96"/>
      <c r="Q39" s="170">
        <v>863944</v>
      </c>
      <c r="R39" s="169" t="s">
        <v>4462</v>
      </c>
      <c r="S39" s="169">
        <f>S38-62</f>
        <v>21</v>
      </c>
      <c r="T39" s="195" t="s">
        <v>4570</v>
      </c>
      <c r="U39" s="169">
        <v>184.6</v>
      </c>
      <c r="V39" s="169">
        <f>U39*(1+$N$83+$Q$15*S39/36500)</f>
        <v>189.64135013698629</v>
      </c>
      <c r="W39" s="32">
        <f>V39*(1+$W$19/100)</f>
        <v>193.43417713972602</v>
      </c>
      <c r="X39" s="32">
        <f>V39*(1+$X$19/100)</f>
        <v>197.22700414246574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183</v>
      </c>
      <c r="AM39" s="113">
        <f t="shared" si="9"/>
        <v>-2854800000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169"/>
      <c r="L40" s="117"/>
      <c r="M40" s="169" t="s">
        <v>4478</v>
      </c>
      <c r="N40" s="113">
        <v>-50000000</v>
      </c>
      <c r="O40" s="96"/>
      <c r="P40" s="96"/>
      <c r="Q40" s="170">
        <v>145929</v>
      </c>
      <c r="R40" s="169" t="s">
        <v>4465</v>
      </c>
      <c r="S40" s="203">
        <f>S39-2</f>
        <v>19</v>
      </c>
      <c r="T40" s="194" t="s">
        <v>4469</v>
      </c>
      <c r="U40" s="169">
        <v>365</v>
      </c>
      <c r="V40" s="169">
        <f>U40*(1+$N$83+$Q$15*S40/36500)</f>
        <v>374.40800000000002</v>
      </c>
      <c r="W40" s="32">
        <f>V40*(1+$W$19/100)</f>
        <v>381.89616000000001</v>
      </c>
      <c r="X40" s="32">
        <f>V40*(1+$X$19/100)</f>
        <v>389.38432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180</v>
      </c>
      <c r="AM40" s="113">
        <f t="shared" si="9"/>
        <v>1350000000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 t="s">
        <v>4435</v>
      </c>
      <c r="L41" s="117">
        <v>3000000</v>
      </c>
      <c r="M41" s="169"/>
      <c r="N41" s="113"/>
      <c r="O41" s="96"/>
      <c r="P41" s="96"/>
      <c r="Q41" s="170">
        <v>25314</v>
      </c>
      <c r="R41" s="169" t="s">
        <v>4567</v>
      </c>
      <c r="S41" s="211">
        <f>S40-16</f>
        <v>3</v>
      </c>
      <c r="T41" s="212" t="s">
        <v>4573</v>
      </c>
      <c r="U41" s="169">
        <v>315</v>
      </c>
      <c r="V41" s="169">
        <f t="shared" ref="V41:V43" si="13">U41*(1+$N$83+$Q$15*S41/36500)</f>
        <v>319.25293150684934</v>
      </c>
      <c r="W41" s="32">
        <f t="shared" ref="W41:W43" si="14">V41*(1+$W$19/100)</f>
        <v>325.63799013698633</v>
      </c>
      <c r="X41" s="32">
        <f t="shared" ref="X41:X43" si="15">V41*(1+$X$19/100)</f>
        <v>332.02304876712333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176</v>
      </c>
      <c r="AM41" s="113">
        <f t="shared" si="9"/>
        <v>-17248000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4495</v>
      </c>
      <c r="N42" s="113">
        <v>108099</v>
      </c>
      <c r="Q42" s="170">
        <v>1692313</v>
      </c>
      <c r="R42" s="169" t="s">
        <v>4578</v>
      </c>
      <c r="S42" s="211">
        <f>S41-3</f>
        <v>0</v>
      </c>
      <c r="T42" s="212" t="s">
        <v>4579</v>
      </c>
      <c r="U42" s="169">
        <v>168.5</v>
      </c>
      <c r="V42" s="169">
        <f t="shared" si="13"/>
        <v>170.38720000000001</v>
      </c>
      <c r="W42" s="32">
        <f t="shared" si="14"/>
        <v>173.79494400000002</v>
      </c>
      <c r="X42" s="32">
        <f t="shared" si="15"/>
        <v>177.20268800000002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175</v>
      </c>
      <c r="AM42" s="113">
        <f t="shared" si="9"/>
        <v>-4550000000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/>
      <c r="N43" s="113"/>
      <c r="O43" s="99"/>
      <c r="P43" s="99"/>
      <c r="Q43" s="170"/>
      <c r="R43" s="169"/>
      <c r="S43" s="26"/>
      <c r="T43" s="26"/>
      <c r="U43" s="169"/>
      <c r="V43" s="169">
        <f t="shared" si="13"/>
        <v>0</v>
      </c>
      <c r="W43" s="32">
        <f t="shared" si="14"/>
        <v>0</v>
      </c>
      <c r="X43" s="32">
        <f t="shared" si="15"/>
        <v>0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175</v>
      </c>
      <c r="AM43" s="113">
        <f t="shared" si="9"/>
        <v>4375000000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 t="s">
        <v>4480</v>
      </c>
      <c r="L44" s="117">
        <v>145929</v>
      </c>
      <c r="M44" s="32" t="s">
        <v>4410</v>
      </c>
      <c r="N44" s="113">
        <f t="shared" ref="N44:N53" si="16">O44*P44</f>
        <v>1996931.3</v>
      </c>
      <c r="O44" s="99">
        <v>611</v>
      </c>
      <c r="P44" s="99">
        <v>3268.3</v>
      </c>
      <c r="Q44" s="113">
        <f>SUM(N29:N31)-SUM(Q38:Q42)</f>
        <v>38516.200000000186</v>
      </c>
      <c r="R44" s="169"/>
      <c r="S44" s="169"/>
      <c r="T44" s="169"/>
      <c r="U44" s="169"/>
      <c r="V44" s="169"/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174</v>
      </c>
      <c r="AM44" s="113">
        <f t="shared" si="9"/>
        <v>19140000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 t="s">
        <v>4558</v>
      </c>
      <c r="L45" s="117">
        <v>-77100</v>
      </c>
      <c r="M45" s="169" t="s">
        <v>4182</v>
      </c>
      <c r="N45" s="113">
        <f t="shared" si="16"/>
        <v>191015550</v>
      </c>
      <c r="O45" s="99">
        <v>1117050</v>
      </c>
      <c r="P45" s="99">
        <v>171</v>
      </c>
      <c r="R45" s="115"/>
      <c r="S45" s="115"/>
      <c r="T45" s="115" t="s">
        <v>25</v>
      </c>
      <c r="U45" s="115"/>
      <c r="V45" s="115"/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173</v>
      </c>
      <c r="AM45" s="113">
        <f t="shared" si="9"/>
        <v>65740000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4521</v>
      </c>
      <c r="N46" s="113">
        <f t="shared" si="16"/>
        <v>619362</v>
      </c>
      <c r="O46" s="99">
        <v>3622</v>
      </c>
      <c r="P46" s="99">
        <f>P45</f>
        <v>171</v>
      </c>
      <c r="Q46" t="s">
        <v>25</v>
      </c>
      <c r="S46" s="26" t="s">
        <v>25</v>
      </c>
      <c r="T46" t="s">
        <v>25</v>
      </c>
      <c r="U46" s="96" t="s">
        <v>25</v>
      </c>
      <c r="V46" s="115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166</v>
      </c>
      <c r="AM46" s="113">
        <f t="shared" si="9"/>
        <v>74700000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56"/>
      <c r="L47" s="117"/>
      <c r="M47" s="169" t="s">
        <v>4468</v>
      </c>
      <c r="N47" s="113">
        <f t="shared" si="16"/>
        <v>233785.19999999998</v>
      </c>
      <c r="O47" s="99">
        <v>398</v>
      </c>
      <c r="P47" s="99">
        <v>587.4</v>
      </c>
      <c r="T47" t="s">
        <v>25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160</v>
      </c>
      <c r="AM47" s="113">
        <f t="shared" si="9"/>
        <v>448000000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4307</v>
      </c>
      <c r="N48" s="113">
        <f t="shared" si="16"/>
        <v>8589866.9000000004</v>
      </c>
      <c r="O48" s="69">
        <v>29347</v>
      </c>
      <c r="P48" s="69">
        <v>292.7</v>
      </c>
      <c r="T48" t="s">
        <v>25</v>
      </c>
      <c r="U48" s="96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159</v>
      </c>
      <c r="AM48" s="113">
        <f t="shared" si="9"/>
        <v>-238500000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4414</v>
      </c>
      <c r="N49" s="113">
        <f t="shared" si="16"/>
        <v>3381396.2</v>
      </c>
      <c r="O49" s="69">
        <v>767</v>
      </c>
      <c r="P49" s="69">
        <v>4408.6000000000004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159</v>
      </c>
      <c r="AM49" s="113">
        <f t="shared" si="9"/>
        <v>484950000</v>
      </c>
      <c r="AN49" s="99"/>
    </row>
    <row r="50" spans="1:40" ht="3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4430</v>
      </c>
      <c r="N50" s="117">
        <f t="shared" si="16"/>
        <v>4551045.3</v>
      </c>
      <c r="O50" s="69">
        <v>10431</v>
      </c>
      <c r="P50" s="69">
        <v>436.3</v>
      </c>
      <c r="Q50" s="73" t="s">
        <v>4306</v>
      </c>
      <c r="R50" s="112"/>
      <c r="S50" s="112"/>
      <c r="T50" s="112"/>
      <c r="U50" s="169" t="s">
        <v>4380</v>
      </c>
      <c r="V50" s="36" t="s">
        <v>4382</v>
      </c>
      <c r="W50" s="32"/>
      <c r="X50" s="32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156</v>
      </c>
      <c r="AM50" s="113">
        <f t="shared" si="9"/>
        <v>-1294739472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4572</v>
      </c>
      <c r="N51" s="117">
        <f t="shared" si="16"/>
        <v>24885</v>
      </c>
      <c r="O51" s="69">
        <v>79</v>
      </c>
      <c r="P51" s="69">
        <v>315</v>
      </c>
      <c r="Q51" s="112" t="s">
        <v>267</v>
      </c>
      <c r="R51" s="112" t="s">
        <v>180</v>
      </c>
      <c r="S51" s="112" t="s">
        <v>183</v>
      </c>
      <c r="T51" s="112" t="s">
        <v>8</v>
      </c>
      <c r="U51" s="169"/>
      <c r="V51" s="99"/>
      <c r="W51" s="32">
        <v>2</v>
      </c>
      <c r="X51" s="32">
        <v>4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154</v>
      </c>
      <c r="AM51" s="113">
        <f t="shared" si="9"/>
        <v>770000000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73" t="s">
        <v>4564</v>
      </c>
      <c r="N52" s="117">
        <f t="shared" si="16"/>
        <v>767282.3</v>
      </c>
      <c r="O52" s="69">
        <v>271</v>
      </c>
      <c r="P52" s="69">
        <v>2831.3</v>
      </c>
      <c r="Q52" s="170">
        <v>184971545</v>
      </c>
      <c r="R52" s="169" t="s">
        <v>4175</v>
      </c>
      <c r="S52" s="196">
        <v>83</v>
      </c>
      <c r="T52" s="169" t="s">
        <v>4363</v>
      </c>
      <c r="U52" s="169">
        <v>192</v>
      </c>
      <c r="V52" s="99">
        <f t="shared" ref="V52:V81" si="17">U52*(1+$N$83+$Q$15*S52/36500)</f>
        <v>206.3752767123288</v>
      </c>
      <c r="W52" s="32">
        <f t="shared" ref="W52:W81" si="18">V52*(1+$W$19/100)</f>
        <v>210.50278224657538</v>
      </c>
      <c r="X52" s="32">
        <f t="shared" ref="X52:X81" si="19">V52*(1+$X$19/100)</f>
        <v>214.63028778082196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140</v>
      </c>
      <c r="AM52" s="113">
        <f t="shared" si="9"/>
        <v>-12600000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73" t="s">
        <v>1086</v>
      </c>
      <c r="N53" s="117">
        <f t="shared" si="16"/>
        <v>22266000</v>
      </c>
      <c r="O53" s="69">
        <v>60</v>
      </c>
      <c r="P53" s="69">
        <v>371100</v>
      </c>
      <c r="Q53" s="170">
        <v>692463</v>
      </c>
      <c r="R53" s="169" t="s">
        <v>4264</v>
      </c>
      <c r="S53" s="196">
        <f>S52-21</f>
        <v>62</v>
      </c>
      <c r="T53" s="169" t="s">
        <v>4566</v>
      </c>
      <c r="U53" s="169">
        <v>190.3</v>
      </c>
      <c r="V53" s="99">
        <f t="shared" si="17"/>
        <v>201.48234082191783</v>
      </c>
      <c r="W53" s="32">
        <f t="shared" si="18"/>
        <v>205.5119876383562</v>
      </c>
      <c r="X53" s="32">
        <f t="shared" si="19"/>
        <v>209.54163445479455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139</v>
      </c>
      <c r="AM53" s="113">
        <f t="shared" si="9"/>
        <v>778400000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169" t="s">
        <v>1154</v>
      </c>
      <c r="N54" s="117">
        <v>14908</v>
      </c>
      <c r="O54" s="96" t="s">
        <v>25</v>
      </c>
      <c r="P54" t="s">
        <v>25</v>
      </c>
      <c r="Q54" s="170">
        <v>9560464</v>
      </c>
      <c r="R54" s="169" t="s">
        <v>4310</v>
      </c>
      <c r="S54" s="196">
        <f>S53-11</f>
        <v>51</v>
      </c>
      <c r="T54" s="169" t="s">
        <v>4327</v>
      </c>
      <c r="U54" s="169">
        <v>214.57</v>
      </c>
      <c r="V54" s="99">
        <f t="shared" si="17"/>
        <v>225.36786783561644</v>
      </c>
      <c r="W54" s="32">
        <f t="shared" si="18"/>
        <v>229.87522519232877</v>
      </c>
      <c r="X54" s="32">
        <f t="shared" si="19"/>
        <v>234.3825825490411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135</v>
      </c>
      <c r="AM54" s="113">
        <f t="shared" si="9"/>
        <v>101250000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99"/>
      <c r="L55" s="99"/>
      <c r="M55" s="169" t="s">
        <v>1155</v>
      </c>
      <c r="N55" s="117">
        <v>5282</v>
      </c>
      <c r="O55" s="96"/>
      <c r="Q55" s="170">
        <v>2000000</v>
      </c>
      <c r="R55" s="169" t="s">
        <v>4358</v>
      </c>
      <c r="S55" s="169">
        <f>S54-11</f>
        <v>40</v>
      </c>
      <c r="T55" s="169" t="s">
        <v>4362</v>
      </c>
      <c r="U55" s="169">
        <v>206.8</v>
      </c>
      <c r="V55" s="99">
        <f t="shared" si="17"/>
        <v>215.46180383561648</v>
      </c>
      <c r="W55" s="32">
        <f t="shared" si="18"/>
        <v>219.7710399123288</v>
      </c>
      <c r="X55" s="32">
        <f t="shared" si="19"/>
        <v>224.08027598904116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133</v>
      </c>
      <c r="AM55" s="171">
        <f t="shared" si="9"/>
        <v>-564186000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O56" s="115"/>
      <c r="P56" s="115"/>
      <c r="Q56" s="170">
        <v>1457531</v>
      </c>
      <c r="R56" s="169" t="s">
        <v>4393</v>
      </c>
      <c r="S56" s="196">
        <f>S55-6</f>
        <v>34</v>
      </c>
      <c r="T56" s="169" t="s">
        <v>4394</v>
      </c>
      <c r="U56" s="169">
        <v>310</v>
      </c>
      <c r="V56" s="99">
        <f t="shared" si="17"/>
        <v>321.55747945205479</v>
      </c>
      <c r="W56" s="32">
        <f t="shared" si="18"/>
        <v>327.98862904109592</v>
      </c>
      <c r="X56" s="32">
        <f t="shared" si="19"/>
        <v>334.41977863013699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131</v>
      </c>
      <c r="AM56" s="113">
        <f t="shared" si="9"/>
        <v>537100000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 t="s">
        <v>25</v>
      </c>
      <c r="L57" s="117"/>
      <c r="M57" s="169" t="s">
        <v>4183</v>
      </c>
      <c r="N57" s="113">
        <f>-O57*P57</f>
        <v>-14154183</v>
      </c>
      <c r="O57" s="99">
        <v>82773</v>
      </c>
      <c r="P57" s="99">
        <f>P45</f>
        <v>171</v>
      </c>
      <c r="Q57" s="170">
        <v>1429825</v>
      </c>
      <c r="R57" s="169" t="s">
        <v>4389</v>
      </c>
      <c r="S57" s="169">
        <f>S56-1</f>
        <v>33</v>
      </c>
      <c r="T57" s="169" t="s">
        <v>4399</v>
      </c>
      <c r="U57" s="169">
        <v>203.9</v>
      </c>
      <c r="V57" s="99">
        <f t="shared" si="17"/>
        <v>211.34542246575344</v>
      </c>
      <c r="W57" s="32">
        <f t="shared" si="18"/>
        <v>215.57233091506851</v>
      </c>
      <c r="X57" s="32">
        <f t="shared" si="19"/>
        <v>219.7992393643836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131</v>
      </c>
      <c r="AM57" s="113">
        <f t="shared" si="9"/>
        <v>537100000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1420747</v>
      </c>
      <c r="R58" s="169" t="s">
        <v>4389</v>
      </c>
      <c r="S58" s="169">
        <f>S57</f>
        <v>33</v>
      </c>
      <c r="T58" s="169" t="s">
        <v>4401</v>
      </c>
      <c r="U58" s="169">
        <v>203.1</v>
      </c>
      <c r="V58" s="99">
        <f t="shared" si="17"/>
        <v>210.51621041095891</v>
      </c>
      <c r="W58" s="32">
        <f t="shared" si="18"/>
        <v>214.7265346191781</v>
      </c>
      <c r="X58" s="32">
        <f t="shared" si="19"/>
        <v>218.93685882739726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130</v>
      </c>
      <c r="AM58" s="113">
        <f t="shared" si="9"/>
        <v>102700000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4464</v>
      </c>
      <c r="N59" s="113">
        <f>-S96</f>
        <v>-2248159.9724756759</v>
      </c>
      <c r="Q59" s="170">
        <v>2864946</v>
      </c>
      <c r="R59" s="169" t="s">
        <v>4389</v>
      </c>
      <c r="S59" s="198">
        <f>S58</f>
        <v>33</v>
      </c>
      <c r="T59" s="169" t="s">
        <v>4403</v>
      </c>
      <c r="U59" s="169">
        <v>303.60000000000002</v>
      </c>
      <c r="V59" s="99">
        <f t="shared" si="17"/>
        <v>314.68597479452058</v>
      </c>
      <c r="W59" s="32">
        <f t="shared" si="18"/>
        <v>320.97969429041098</v>
      </c>
      <c r="X59" s="32">
        <f t="shared" si="19"/>
        <v>327.27341378630143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115</v>
      </c>
      <c r="AM59" s="173">
        <f t="shared" si="9"/>
        <v>-444475000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 t="s">
        <v>4481</v>
      </c>
      <c r="N60" s="113">
        <f>-S97</f>
        <v>-7930942.144096422</v>
      </c>
      <c r="Q60" s="170">
        <v>2412371</v>
      </c>
      <c r="R60" s="169" t="s">
        <v>4391</v>
      </c>
      <c r="S60" s="169">
        <f>S59-1</f>
        <v>32</v>
      </c>
      <c r="T60" s="169" t="s">
        <v>4409</v>
      </c>
      <c r="U60" s="169">
        <v>3930</v>
      </c>
      <c r="V60" s="99">
        <f t="shared" si="17"/>
        <v>4070.489424657535</v>
      </c>
      <c r="W60" s="32">
        <f t="shared" si="18"/>
        <v>4151.8992131506857</v>
      </c>
      <c r="X60" s="32">
        <f t="shared" si="19"/>
        <v>4233.3090016438364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109</v>
      </c>
      <c r="AM60" s="113">
        <f t="shared" si="9"/>
        <v>2049200000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2010885</v>
      </c>
      <c r="R61" s="169" t="s">
        <v>4412</v>
      </c>
      <c r="S61" s="169">
        <f>S60-2</f>
        <v>30</v>
      </c>
      <c r="T61" s="169" t="s">
        <v>4418</v>
      </c>
      <c r="U61" s="169">
        <v>202.1</v>
      </c>
      <c r="V61" s="99">
        <f t="shared" si="17"/>
        <v>209.01458849315071</v>
      </c>
      <c r="W61" s="32">
        <f t="shared" si="18"/>
        <v>213.19488026301372</v>
      </c>
      <c r="X61" s="32">
        <f t="shared" si="19"/>
        <v>217.37517203287675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106</v>
      </c>
      <c r="AM61" s="113">
        <f t="shared" si="9"/>
        <v>53000000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/>
      <c r="L62" s="117"/>
      <c r="M62" s="169"/>
      <c r="N62" s="113"/>
      <c r="Q62" s="170">
        <v>1994038</v>
      </c>
      <c r="R62" s="169" t="s">
        <v>4423</v>
      </c>
      <c r="S62" s="169">
        <f>S61-3</f>
        <v>27</v>
      </c>
      <c r="T62" s="169" t="s">
        <v>4442</v>
      </c>
      <c r="U62" s="169">
        <v>5560.3</v>
      </c>
      <c r="V62" s="99">
        <f t="shared" si="17"/>
        <v>5737.742121643837</v>
      </c>
      <c r="W62" s="32">
        <f t="shared" si="18"/>
        <v>5852.496964076714</v>
      </c>
      <c r="X62" s="32">
        <f t="shared" si="19"/>
        <v>5967.251806509591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105</v>
      </c>
      <c r="AM62" s="113">
        <f t="shared" si="9"/>
        <v>21000000</v>
      </c>
      <c r="AN62" s="20"/>
    </row>
    <row r="63" spans="1:40">
      <c r="E63" s="26"/>
      <c r="K63" s="169" t="s">
        <v>598</v>
      </c>
      <c r="L63" s="113">
        <f>SUM(L16:L49)</f>
        <v>265968254.15142268</v>
      </c>
      <c r="M63" s="169"/>
      <c r="N63" s="113">
        <f>SUM(N16:N59)</f>
        <v>351564867.27610171</v>
      </c>
      <c r="Q63" s="170">
        <v>4629290</v>
      </c>
      <c r="R63" s="169" t="s">
        <v>4423</v>
      </c>
      <c r="S63" s="198">
        <f>S62</f>
        <v>27</v>
      </c>
      <c r="T63" s="169" t="s">
        <v>4431</v>
      </c>
      <c r="U63" s="169">
        <v>441.8</v>
      </c>
      <c r="V63" s="99">
        <f t="shared" si="17"/>
        <v>455.89886684931514</v>
      </c>
      <c r="W63" s="32">
        <f t="shared" si="18"/>
        <v>465.01684418630146</v>
      </c>
      <c r="X63" s="32">
        <f t="shared" si="19"/>
        <v>474.13482152328777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102</v>
      </c>
      <c r="AM63" s="113">
        <f t="shared" si="9"/>
        <v>102000000</v>
      </c>
      <c r="AN63" s="20"/>
    </row>
    <row r="64" spans="1:40">
      <c r="E64" s="26"/>
      <c r="K64" s="169" t="s">
        <v>599</v>
      </c>
      <c r="L64" s="113">
        <f>L16+L17+L23</f>
        <v>24202</v>
      </c>
      <c r="M64" s="169"/>
      <c r="N64" s="113">
        <f>N16+N17+N35</f>
        <v>818506</v>
      </c>
      <c r="Q64" s="170">
        <v>4489908</v>
      </c>
      <c r="R64" s="169" t="s">
        <v>4423</v>
      </c>
      <c r="S64" s="169">
        <f>S63</f>
        <v>27</v>
      </c>
      <c r="T64" s="169" t="s">
        <v>4429</v>
      </c>
      <c r="U64" s="169">
        <v>292.60000000000002</v>
      </c>
      <c r="V64" s="99">
        <f t="shared" si="17"/>
        <v>301.93754739726035</v>
      </c>
      <c r="W64" s="32">
        <f t="shared" si="18"/>
        <v>307.97629834520558</v>
      </c>
      <c r="X64" s="32">
        <f t="shared" si="19"/>
        <v>314.01504929315075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99</v>
      </c>
      <c r="AM64" s="113">
        <f t="shared" si="9"/>
        <v>128700000</v>
      </c>
      <c r="AN64" s="20"/>
    </row>
    <row r="65" spans="1:40">
      <c r="K65" s="56" t="s">
        <v>716</v>
      </c>
      <c r="L65" s="1">
        <f>L63+N7</f>
        <v>335968254.15142268</v>
      </c>
      <c r="M65" s="113"/>
      <c r="N65" s="169"/>
      <c r="O65" s="115"/>
      <c r="P65" s="115"/>
      <c r="Q65" s="170">
        <v>1971103</v>
      </c>
      <c r="R65" s="169" t="s">
        <v>4437</v>
      </c>
      <c r="S65" s="169">
        <f>S64-1</f>
        <v>26</v>
      </c>
      <c r="T65" s="169" t="s">
        <v>4438</v>
      </c>
      <c r="U65" s="169">
        <v>196.2</v>
      </c>
      <c r="V65" s="99">
        <f t="shared" si="17"/>
        <v>202.31068931506849</v>
      </c>
      <c r="W65" s="32">
        <f t="shared" si="18"/>
        <v>206.35690310136985</v>
      </c>
      <c r="X65" s="32">
        <f t="shared" si="19"/>
        <v>210.40311688767125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20">AL66+AK65</f>
        <v>99</v>
      </c>
      <c r="AM65" s="113">
        <f t="shared" si="9"/>
        <v>98505000</v>
      </c>
      <c r="AN65" s="20"/>
    </row>
    <row r="66" spans="1:40">
      <c r="O66" s="96"/>
      <c r="P66" s="96"/>
      <c r="Q66" s="170">
        <v>1049856</v>
      </c>
      <c r="R66" s="169" t="s">
        <v>4462</v>
      </c>
      <c r="S66" s="204">
        <f>S65-6</f>
        <v>20</v>
      </c>
      <c r="T66" s="169" t="s">
        <v>4513</v>
      </c>
      <c r="U66" s="169">
        <v>184.5</v>
      </c>
      <c r="V66" s="99">
        <f t="shared" si="17"/>
        <v>189.39708493150687</v>
      </c>
      <c r="W66" s="32">
        <f t="shared" si="18"/>
        <v>193.185026630137</v>
      </c>
      <c r="X66" s="32">
        <f t="shared" si="19"/>
        <v>196.97296832876714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20"/>
        <v>97</v>
      </c>
      <c r="AM66" s="113">
        <f t="shared" si="9"/>
        <v>1261000000</v>
      </c>
      <c r="AN66" s="20"/>
    </row>
    <row r="67" spans="1:40">
      <c r="A67" t="s">
        <v>25</v>
      </c>
      <c r="F67" t="s">
        <v>310</v>
      </c>
      <c r="G67" t="s">
        <v>4102</v>
      </c>
      <c r="M67" s="25"/>
      <c r="O67" t="s">
        <v>25</v>
      </c>
      <c r="Q67" s="170">
        <v>1783234</v>
      </c>
      <c r="R67" s="169" t="s">
        <v>4465</v>
      </c>
      <c r="S67" s="169">
        <f>S66-2</f>
        <v>18</v>
      </c>
      <c r="T67" s="169" t="s">
        <v>4471</v>
      </c>
      <c r="U67" s="169">
        <v>177.5</v>
      </c>
      <c r="V67" s="99">
        <f t="shared" si="17"/>
        <v>181.9389589041096</v>
      </c>
      <c r="W67" s="32">
        <f t="shared" si="18"/>
        <v>185.57773808219179</v>
      </c>
      <c r="X67" s="32">
        <f t="shared" si="19"/>
        <v>189.21651726027397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20"/>
        <v>95</v>
      </c>
      <c r="AM67" s="113">
        <f t="shared" si="9"/>
        <v>-294500000</v>
      </c>
      <c r="AN67" s="20"/>
    </row>
    <row r="68" spans="1:40">
      <c r="F68" t="s">
        <v>4106</v>
      </c>
      <c r="G68" t="s">
        <v>4101</v>
      </c>
      <c r="M68" s="25" t="s">
        <v>4083</v>
      </c>
      <c r="P68" t="s">
        <v>25</v>
      </c>
      <c r="Q68" s="170">
        <v>1904396</v>
      </c>
      <c r="R68" s="169" t="s">
        <v>4465</v>
      </c>
      <c r="S68" s="203">
        <f>S67</f>
        <v>18</v>
      </c>
      <c r="T68" s="169" t="s">
        <v>4476</v>
      </c>
      <c r="U68" s="169">
        <v>4861</v>
      </c>
      <c r="V68" s="99">
        <f t="shared" si="17"/>
        <v>4982.5649534246577</v>
      </c>
      <c r="W68" s="32">
        <f t="shared" si="18"/>
        <v>5082.2162524931509</v>
      </c>
      <c r="X68" s="32">
        <f t="shared" si="19"/>
        <v>5181.8675515616442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20"/>
        <v>92</v>
      </c>
      <c r="AM68" s="113">
        <f t="shared" si="9"/>
        <v>4198880000</v>
      </c>
      <c r="AN68" s="20"/>
    </row>
    <row r="69" spans="1:40">
      <c r="F69" t="s">
        <v>4107</v>
      </c>
      <c r="G69" t="s">
        <v>4103</v>
      </c>
      <c r="M69" s="178"/>
      <c r="O69" s="22"/>
      <c r="Q69" s="170">
        <v>145929</v>
      </c>
      <c r="R69" s="169" t="s">
        <v>4465</v>
      </c>
      <c r="S69" s="203">
        <f>S68</f>
        <v>18</v>
      </c>
      <c r="T69" s="169" t="s">
        <v>4469</v>
      </c>
      <c r="U69" s="169">
        <v>365</v>
      </c>
      <c r="V69" s="99">
        <f t="shared" si="17"/>
        <v>374.12800000000004</v>
      </c>
      <c r="W69" s="32">
        <f t="shared" si="18"/>
        <v>381.61056000000008</v>
      </c>
      <c r="X69" s="32">
        <f t="shared" si="19"/>
        <v>389.09312000000006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20"/>
        <v>91</v>
      </c>
      <c r="AM69" s="113">
        <f t="shared" si="9"/>
        <v>3048500000</v>
      </c>
      <c r="AN69" s="20"/>
    </row>
    <row r="70" spans="1:40">
      <c r="G70" t="s">
        <v>4104</v>
      </c>
      <c r="M70" s="122"/>
      <c r="O70" t="s">
        <v>25</v>
      </c>
      <c r="P70" t="s">
        <v>25</v>
      </c>
      <c r="Q70" s="170">
        <v>1826179</v>
      </c>
      <c r="R70" s="169" t="s">
        <v>4474</v>
      </c>
      <c r="S70" s="203">
        <f>S69-5</f>
        <v>13</v>
      </c>
      <c r="T70" s="73" t="s">
        <v>4522</v>
      </c>
      <c r="U70" s="169">
        <v>190.3</v>
      </c>
      <c r="V70" s="99">
        <f t="shared" si="17"/>
        <v>194.32914630136989</v>
      </c>
      <c r="W70" s="32">
        <f t="shared" si="18"/>
        <v>198.2157292273973</v>
      </c>
      <c r="X70" s="32">
        <f t="shared" si="19"/>
        <v>202.10231215342469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20"/>
        <v>90</v>
      </c>
      <c r="AM70" s="117">
        <f t="shared" si="9"/>
        <v>1080000000</v>
      </c>
      <c r="AN70" s="20"/>
    </row>
    <row r="71" spans="1:40">
      <c r="G71" t="s">
        <v>4105</v>
      </c>
      <c r="M71" s="122" t="s">
        <v>4432</v>
      </c>
      <c r="O71" s="114"/>
      <c r="Q71" s="170">
        <v>1049976</v>
      </c>
      <c r="R71" s="169" t="s">
        <v>4474</v>
      </c>
      <c r="S71" s="203">
        <f>S70</f>
        <v>13</v>
      </c>
      <c r="T71" s="73" t="s">
        <v>4531</v>
      </c>
      <c r="U71" s="169">
        <v>190.3</v>
      </c>
      <c r="V71" s="99">
        <f t="shared" si="17"/>
        <v>194.32914630136989</v>
      </c>
      <c r="W71" s="32">
        <f t="shared" si="18"/>
        <v>198.2157292273973</v>
      </c>
      <c r="X71" s="32">
        <f t="shared" si="19"/>
        <v>202.10231215342469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20"/>
        <v>89</v>
      </c>
      <c r="AM71" s="117">
        <f t="shared" si="9"/>
        <v>1379500000</v>
      </c>
      <c r="AN71" s="20"/>
    </row>
    <row r="72" spans="1:40">
      <c r="G72" t="s">
        <v>4109</v>
      </c>
      <c r="M72" s="122" t="s">
        <v>4561</v>
      </c>
      <c r="N72" s="96"/>
      <c r="Q72" s="170">
        <v>3969956</v>
      </c>
      <c r="R72" s="169" t="s">
        <v>4532</v>
      </c>
      <c r="S72" s="169">
        <f>S71-2</f>
        <v>11</v>
      </c>
      <c r="T72" s="73" t="s">
        <v>4533</v>
      </c>
      <c r="U72" s="169">
        <v>396500</v>
      </c>
      <c r="V72" s="99">
        <f t="shared" si="17"/>
        <v>404286.6082191781</v>
      </c>
      <c r="W72" s="32">
        <f t="shared" si="18"/>
        <v>412372.34038356168</v>
      </c>
      <c r="X72" s="32">
        <f t="shared" si="19"/>
        <v>420458.07254794525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20"/>
        <v>85</v>
      </c>
      <c r="AM72" s="117">
        <f t="shared" si="9"/>
        <v>12750000</v>
      </c>
      <c r="AN72" s="20"/>
    </row>
    <row r="73" spans="1:40">
      <c r="G73" t="s">
        <v>4108</v>
      </c>
      <c r="M73" s="122" t="s">
        <v>4540</v>
      </c>
      <c r="N73" s="96"/>
      <c r="P73" t="s">
        <v>25</v>
      </c>
      <c r="Q73" s="170">
        <v>3894862</v>
      </c>
      <c r="R73" s="169" t="s">
        <v>4541</v>
      </c>
      <c r="S73" s="169">
        <f>S72-2</f>
        <v>9</v>
      </c>
      <c r="T73" s="73" t="s">
        <v>4548</v>
      </c>
      <c r="U73" s="169">
        <v>389000</v>
      </c>
      <c r="V73" s="99">
        <f t="shared" si="17"/>
        <v>396042.49863013707</v>
      </c>
      <c r="W73" s="32">
        <f t="shared" si="18"/>
        <v>403963.3486027398</v>
      </c>
      <c r="X73" s="32">
        <f t="shared" si="19"/>
        <v>411884.19857534254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20"/>
        <v>84</v>
      </c>
      <c r="AM73" s="182">
        <f t="shared" si="9"/>
        <v>2436000000</v>
      </c>
      <c r="AN73" s="181" t="s">
        <v>4189</v>
      </c>
    </row>
    <row r="74" spans="1:40" ht="30">
      <c r="M74" s="122" t="s">
        <v>4542</v>
      </c>
      <c r="N74" s="96"/>
      <c r="P74" s="115"/>
      <c r="Q74" s="170">
        <v>5881743</v>
      </c>
      <c r="R74" s="169" t="s">
        <v>4547</v>
      </c>
      <c r="S74" s="169">
        <f>S73-3</f>
        <v>6</v>
      </c>
      <c r="T74" s="73" t="s">
        <v>4575</v>
      </c>
      <c r="U74" s="169">
        <v>172.2</v>
      </c>
      <c r="V74" s="99">
        <f t="shared" si="17"/>
        <v>174.9212317808219</v>
      </c>
      <c r="W74" s="32">
        <f t="shared" si="18"/>
        <v>178.41965641643833</v>
      </c>
      <c r="X74" s="32">
        <f t="shared" si="19"/>
        <v>181.91808105205479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20"/>
        <v>69</v>
      </c>
      <c r="AM74" s="117">
        <f t="shared" si="9"/>
        <v>-8970000</v>
      </c>
      <c r="AN74" s="20" t="s">
        <v>4215</v>
      </c>
    </row>
    <row r="75" spans="1:40">
      <c r="M75" s="122" t="s">
        <v>4560</v>
      </c>
      <c r="N75" s="96"/>
      <c r="P75" s="115" t="s">
        <v>25</v>
      </c>
      <c r="Q75" s="170">
        <v>4025024</v>
      </c>
      <c r="R75" s="169" t="s">
        <v>4547</v>
      </c>
      <c r="S75" s="169">
        <f>S74</f>
        <v>6</v>
      </c>
      <c r="T75" s="73" t="s">
        <v>4552</v>
      </c>
      <c r="U75" s="169">
        <v>402000</v>
      </c>
      <c r="V75" s="99">
        <f t="shared" si="17"/>
        <v>408352.701369863</v>
      </c>
      <c r="W75" s="32">
        <f t="shared" si="18"/>
        <v>416519.75539726025</v>
      </c>
      <c r="X75" s="32">
        <f t="shared" si="19"/>
        <v>424686.80942465755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20"/>
        <v>62</v>
      </c>
      <c r="AM75" s="117">
        <f>AJ75*AL75</f>
        <v>14384000</v>
      </c>
      <c r="AN75" s="20" t="s">
        <v>4270</v>
      </c>
    </row>
    <row r="76" spans="1:40">
      <c r="D76" s="3"/>
      <c r="E76" s="11" t="s">
        <v>304</v>
      </c>
      <c r="M76" s="122" t="s">
        <v>4577</v>
      </c>
      <c r="O76" t="s">
        <v>25</v>
      </c>
      <c r="P76" s="115"/>
      <c r="Q76" s="170">
        <v>3919893</v>
      </c>
      <c r="R76" s="169" t="s">
        <v>4550</v>
      </c>
      <c r="S76" s="169">
        <f>S75-1</f>
        <v>5</v>
      </c>
      <c r="T76" s="73" t="s">
        <v>4551</v>
      </c>
      <c r="U76" s="169">
        <v>391500</v>
      </c>
      <c r="V76" s="99">
        <f t="shared" si="17"/>
        <v>397386.44383561646</v>
      </c>
      <c r="W76" s="32">
        <f t="shared" si="18"/>
        <v>405334.17271232879</v>
      </c>
      <c r="X76" s="32">
        <f t="shared" si="19"/>
        <v>413281.90158904111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20"/>
        <v>60</v>
      </c>
      <c r="AM76" s="117">
        <f t="shared" si="9"/>
        <v>-10200000</v>
      </c>
      <c r="AN76" s="20"/>
    </row>
    <row r="77" spans="1:40">
      <c r="D77" s="1" t="s">
        <v>305</v>
      </c>
      <c r="E77" s="1">
        <v>70000</v>
      </c>
      <c r="M77" s="96">
        <f>O45+O46+O21+O29-O57</f>
        <v>1116305</v>
      </c>
      <c r="N77" s="113">
        <f>M77*P45</f>
        <v>190888155</v>
      </c>
      <c r="P77" s="115"/>
      <c r="Q77" s="170">
        <v>3825777</v>
      </c>
      <c r="R77" s="169" t="s">
        <v>4556</v>
      </c>
      <c r="S77" s="169">
        <f>S76-1</f>
        <v>4</v>
      </c>
      <c r="T77" s="73" t="s">
        <v>4559</v>
      </c>
      <c r="U77" s="169">
        <v>382100</v>
      </c>
      <c r="V77" s="99">
        <f t="shared" si="17"/>
        <v>387551.99123287678</v>
      </c>
      <c r="W77" s="32">
        <f t="shared" si="18"/>
        <v>395303.03105753433</v>
      </c>
      <c r="X77" s="32">
        <f t="shared" si="19"/>
        <v>403054.07088219188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20"/>
        <v>57</v>
      </c>
      <c r="AM77" s="117">
        <f t="shared" si="9"/>
        <v>-17100000</v>
      </c>
      <c r="AN77" s="20"/>
    </row>
    <row r="78" spans="1:40">
      <c r="D78" s="1" t="s">
        <v>321</v>
      </c>
      <c r="E78" s="1">
        <v>100000</v>
      </c>
      <c r="M78" t="s">
        <v>4278</v>
      </c>
      <c r="N78" t="s">
        <v>4275</v>
      </c>
      <c r="P78" s="115"/>
      <c r="Q78" s="170">
        <v>773238</v>
      </c>
      <c r="R78" s="169" t="s">
        <v>4236</v>
      </c>
      <c r="S78" s="169">
        <f>S77-1</f>
        <v>3</v>
      </c>
      <c r="T78" s="73" t="s">
        <v>4565</v>
      </c>
      <c r="U78" s="169">
        <v>2850</v>
      </c>
      <c r="V78" s="99">
        <f t="shared" si="17"/>
        <v>2888.4789041095892</v>
      </c>
      <c r="W78" s="32">
        <f t="shared" si="18"/>
        <v>2946.248482191781</v>
      </c>
      <c r="X78" s="32">
        <f t="shared" si="19"/>
        <v>3004.0180602739729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54</v>
      </c>
      <c r="AM78" s="117">
        <f t="shared" si="9"/>
        <v>-615600000</v>
      </c>
      <c r="AN78" s="20"/>
    </row>
    <row r="79" spans="1:40">
      <c r="D79" s="1" t="s">
        <v>306</v>
      </c>
      <c r="E79" s="1">
        <v>80000</v>
      </c>
      <c r="N79" t="s">
        <v>25</v>
      </c>
      <c r="P79" s="115"/>
      <c r="Q79" s="170">
        <v>24997</v>
      </c>
      <c r="R79" s="169" t="s">
        <v>4567</v>
      </c>
      <c r="S79" s="169">
        <f>S78-1</f>
        <v>2</v>
      </c>
      <c r="T79" s="73" t="s">
        <v>4574</v>
      </c>
      <c r="U79" s="169">
        <v>315</v>
      </c>
      <c r="V79" s="99">
        <f t="shared" si="17"/>
        <v>319.01128767123294</v>
      </c>
      <c r="W79" s="32">
        <f t="shared" si="18"/>
        <v>325.3915134246576</v>
      </c>
      <c r="X79" s="32">
        <f t="shared" si="19"/>
        <v>331.77173917808227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41</v>
      </c>
      <c r="AM79" s="117">
        <f>AJ79*AL79</f>
        <v>-410000000</v>
      </c>
      <c r="AN79" s="20"/>
    </row>
    <row r="80" spans="1:40">
      <c r="D80" s="31" t="s">
        <v>307</v>
      </c>
      <c r="E80" s="1">
        <v>150000</v>
      </c>
      <c r="J80" t="s">
        <v>25</v>
      </c>
      <c r="P80" s="115"/>
      <c r="Q80" s="170">
        <v>674112</v>
      </c>
      <c r="R80" s="169" t="s">
        <v>4578</v>
      </c>
      <c r="S80" s="169">
        <f>S79-3</f>
        <v>-1</v>
      </c>
      <c r="T80" s="73" t="s">
        <v>4580</v>
      </c>
      <c r="U80" s="169">
        <v>167.8</v>
      </c>
      <c r="V80" s="99">
        <f t="shared" si="17"/>
        <v>169.55063671232881</v>
      </c>
      <c r="W80" s="32">
        <f t="shared" si="18"/>
        <v>172.94164944657538</v>
      </c>
      <c r="X80" s="32">
        <f t="shared" si="19"/>
        <v>176.33266218082196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40</v>
      </c>
      <c r="AM80" s="117">
        <f>AJ80*AL80</f>
        <v>-98000000</v>
      </c>
      <c r="AN80" s="20"/>
    </row>
    <row r="81" spans="4:52">
      <c r="D81" s="31" t="s">
        <v>308</v>
      </c>
      <c r="E81" s="1">
        <v>300000</v>
      </c>
      <c r="M81" t="s">
        <v>949</v>
      </c>
      <c r="N81">
        <v>6.3E-3</v>
      </c>
      <c r="P81" s="115"/>
      <c r="Q81" s="170">
        <v>3614512</v>
      </c>
      <c r="R81" s="169" t="s">
        <v>4578</v>
      </c>
      <c r="S81" s="169">
        <f>S80</f>
        <v>-1</v>
      </c>
      <c r="T81" s="73" t="s">
        <v>4581</v>
      </c>
      <c r="U81" s="169">
        <v>361000</v>
      </c>
      <c r="V81" s="99">
        <f t="shared" si="17"/>
        <v>364766.26849315077</v>
      </c>
      <c r="W81" s="32">
        <f t="shared" si="18"/>
        <v>372061.59386301378</v>
      </c>
      <c r="X81" s="32">
        <f t="shared" si="19"/>
        <v>379356.9192328768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20"/>
        <v>35</v>
      </c>
      <c r="AM81" s="117">
        <f t="shared" si="9"/>
        <v>-15962835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M82" t="s">
        <v>61</v>
      </c>
      <c r="N82">
        <v>4.8999999999999998E-3</v>
      </c>
      <c r="P82" s="115"/>
      <c r="Q82" s="170"/>
      <c r="R82" s="169"/>
      <c r="S82" s="169"/>
      <c r="T82" s="73"/>
      <c r="U82" s="169"/>
      <c r="V82" s="99"/>
      <c r="W82" s="32"/>
      <c r="X82" s="3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34</v>
      </c>
      <c r="AM82" s="117">
        <f t="shared" si="9"/>
        <v>-17000000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t="s">
        <v>6</v>
      </c>
      <c r="N83">
        <f>N81+N82</f>
        <v>1.12E-2</v>
      </c>
      <c r="O83" t="s">
        <v>25</v>
      </c>
      <c r="P83" t="s">
        <v>25</v>
      </c>
      <c r="Q83" s="170"/>
      <c r="R83" s="169"/>
      <c r="S83" s="169"/>
      <c r="T83" s="169"/>
      <c r="U83" s="169"/>
      <c r="V83" s="99" t="s">
        <v>25</v>
      </c>
      <c r="W83" s="32"/>
      <c r="X83" s="32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20"/>
        <v>32</v>
      </c>
      <c r="AM83" s="117">
        <f t="shared" si="9"/>
        <v>-199499840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113">
        <f>SUM(N44:N53)-SUM(Q52:Q83)</f>
        <v>-26822695.799999982</v>
      </c>
      <c r="R84" s="112"/>
      <c r="S84" s="112"/>
      <c r="T84" s="112"/>
      <c r="U84" s="169"/>
      <c r="V84" s="99" t="s">
        <v>25</v>
      </c>
      <c r="W84" s="32"/>
      <c r="X84" s="32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20"/>
        <v>29</v>
      </c>
      <c r="AM84" s="117">
        <f t="shared" si="9"/>
        <v>56577753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Q85" s="26"/>
      <c r="R85" s="185"/>
      <c r="S85" s="185"/>
      <c r="T85" t="s">
        <v>25</v>
      </c>
      <c r="U85" s="96" t="s">
        <v>25</v>
      </c>
      <c r="V85" s="96" t="s">
        <v>25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4454</v>
      </c>
      <c r="AJ85" s="117">
        <v>600000</v>
      </c>
      <c r="AK85" s="20">
        <v>5</v>
      </c>
      <c r="AL85" s="99">
        <f t="shared" si="20"/>
        <v>25</v>
      </c>
      <c r="AM85" s="117">
        <f t="shared" si="9"/>
        <v>15000000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R86" t="s">
        <v>25</v>
      </c>
      <c r="T86" t="s">
        <v>25</v>
      </c>
      <c r="U86" s="96" t="s">
        <v>25</v>
      </c>
      <c r="V86" s="96" t="s">
        <v>25</v>
      </c>
      <c r="W86" s="96" t="s">
        <v>25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4465</v>
      </c>
      <c r="AJ86" s="117">
        <v>7500000</v>
      </c>
      <c r="AK86" s="20">
        <v>2</v>
      </c>
      <c r="AL86" s="99">
        <f t="shared" si="20"/>
        <v>20</v>
      </c>
      <c r="AM86" s="117">
        <f t="shared" si="9"/>
        <v>150000000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s="199"/>
      <c r="P87" t="s">
        <v>25</v>
      </c>
      <c r="Q87" t="s">
        <v>25</v>
      </c>
      <c r="R87" t="s">
        <v>25</v>
      </c>
      <c r="T87" t="s">
        <v>25</v>
      </c>
      <c r="U87" s="96" t="s">
        <v>25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4475</v>
      </c>
      <c r="AJ87" s="117">
        <v>-587816</v>
      </c>
      <c r="AK87" s="20">
        <v>3</v>
      </c>
      <c r="AL87" s="99">
        <f t="shared" si="20"/>
        <v>18</v>
      </c>
      <c r="AM87" s="117">
        <f t="shared" si="9"/>
        <v>-10580688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t="s">
        <v>25</v>
      </c>
      <c r="S88" t="s">
        <v>25</v>
      </c>
      <c r="T88" t="s">
        <v>25</v>
      </c>
      <c r="U88" s="96" t="s">
        <v>25</v>
      </c>
      <c r="W88" s="96" t="s">
        <v>25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4474</v>
      </c>
      <c r="AJ88" s="117">
        <v>-907489</v>
      </c>
      <c r="AK88" s="20">
        <v>0</v>
      </c>
      <c r="AL88" s="99">
        <f>AL89+AK88</f>
        <v>15</v>
      </c>
      <c r="AM88" s="117">
        <f t="shared" si="9"/>
        <v>-13612335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V89" s="96"/>
      <c r="W89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4474</v>
      </c>
      <c r="AJ89" s="117">
        <v>2450000</v>
      </c>
      <c r="AK89" s="20">
        <v>1</v>
      </c>
      <c r="AL89" s="99">
        <f t="shared" si="20"/>
        <v>15</v>
      </c>
      <c r="AM89" s="117">
        <f t="shared" si="9"/>
        <v>36750000</v>
      </c>
      <c r="AN89" s="20" t="s">
        <v>4519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V90" s="96"/>
      <c r="W90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4523</v>
      </c>
      <c r="AJ90" s="117">
        <v>1500000</v>
      </c>
      <c r="AK90" s="20">
        <v>1</v>
      </c>
      <c r="AL90" s="99">
        <f t="shared" si="20"/>
        <v>14</v>
      </c>
      <c r="AM90" s="117">
        <f t="shared" si="9"/>
        <v>21000000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/>
      <c r="M91" s="208" t="s">
        <v>4459</v>
      </c>
      <c r="N91" s="169" t="s">
        <v>4311</v>
      </c>
      <c r="O91" s="169" t="s">
        <v>180</v>
      </c>
      <c r="Q91" s="99" t="s">
        <v>4499</v>
      </c>
      <c r="R91" s="99" t="s">
        <v>4501</v>
      </c>
      <c r="S91" s="99"/>
      <c r="T91" s="99" t="s">
        <v>4502</v>
      </c>
      <c r="U91" s="99"/>
      <c r="V91" s="99"/>
      <c r="Y91" s="115"/>
      <c r="Z91" s="115"/>
      <c r="AA91" s="115"/>
      <c r="AE91"/>
      <c r="AG91" s="96"/>
      <c r="AH91" s="20">
        <v>71</v>
      </c>
      <c r="AI91" s="117" t="s">
        <v>4532</v>
      </c>
      <c r="AJ91" s="117">
        <v>2648000</v>
      </c>
      <c r="AK91" s="20">
        <v>1</v>
      </c>
      <c r="AL91" s="99">
        <f t="shared" si="20"/>
        <v>13</v>
      </c>
      <c r="AM91" s="117">
        <f t="shared" si="9"/>
        <v>34424000</v>
      </c>
      <c r="AN91" s="20" t="s">
        <v>4534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 t="s">
        <v>4247</v>
      </c>
      <c r="M92" s="209">
        <v>1706</v>
      </c>
      <c r="N92" s="170">
        <v>1763</v>
      </c>
      <c r="O92" s="99" t="s">
        <v>4547</v>
      </c>
      <c r="Q92" s="113">
        <v>1000</v>
      </c>
      <c r="R92" s="99">
        <v>0.25</v>
      </c>
      <c r="S92" s="99"/>
      <c r="T92" s="99">
        <f>1-R92</f>
        <v>0.75</v>
      </c>
      <c r="U92" s="99"/>
      <c r="V92" s="99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20"/>
        <v>12</v>
      </c>
      <c r="AM92" s="117">
        <f t="shared" si="9"/>
        <v>7380000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 t="s">
        <v>1086</v>
      </c>
      <c r="M93" s="209">
        <v>3721000</v>
      </c>
      <c r="N93" s="170">
        <v>3921000</v>
      </c>
      <c r="O93" s="99" t="s">
        <v>4547</v>
      </c>
      <c r="Q93" s="169" t="s">
        <v>4485</v>
      </c>
      <c r="R93" s="169" t="s">
        <v>4504</v>
      </c>
      <c r="S93" s="169" t="s">
        <v>4506</v>
      </c>
      <c r="T93" s="169" t="s">
        <v>180</v>
      </c>
      <c r="U93" s="169" t="s">
        <v>4500</v>
      </c>
      <c r="V93" s="56" t="s">
        <v>4503</v>
      </c>
      <c r="X93" s="115"/>
      <c r="Y93" s="115"/>
      <c r="Z93" s="115"/>
      <c r="AA93" s="115"/>
      <c r="AE93"/>
      <c r="AG93" s="96"/>
      <c r="AH93" s="20">
        <v>73</v>
      </c>
      <c r="AI93" s="117" t="s">
        <v>4547</v>
      </c>
      <c r="AJ93" s="117">
        <v>14000000</v>
      </c>
      <c r="AK93" s="20">
        <v>2</v>
      </c>
      <c r="AL93" s="99">
        <f>AL94+AK93</f>
        <v>8</v>
      </c>
      <c r="AM93" s="117">
        <f t="shared" si="9"/>
        <v>112000000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Q94" s="169" t="s">
        <v>751</v>
      </c>
      <c r="R94" s="56">
        <v>720930</v>
      </c>
      <c r="S94" s="113">
        <f>R94*$T$121</f>
        <v>172973956.13200524</v>
      </c>
      <c r="T94" s="169" t="s">
        <v>4498</v>
      </c>
      <c r="U94" s="169">
        <f>$Q$92*$T$92*S94/$R$118</f>
        <v>495.87942196351554</v>
      </c>
      <c r="V94" s="95">
        <f>S94+U94</f>
        <v>172974452.01142719</v>
      </c>
      <c r="X94" s="163"/>
      <c r="AH94" s="20">
        <v>74</v>
      </c>
      <c r="AI94" s="117" t="s">
        <v>4556</v>
      </c>
      <c r="AJ94" s="117">
        <v>1313000</v>
      </c>
      <c r="AK94" s="20">
        <v>0</v>
      </c>
      <c r="AL94" s="99">
        <f>AL95+AK94</f>
        <v>6</v>
      </c>
      <c r="AM94" s="117">
        <f t="shared" si="9"/>
        <v>7878000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P95" s="115"/>
      <c r="Q95" s="169" t="s">
        <v>4487</v>
      </c>
      <c r="R95" s="56">
        <v>327026</v>
      </c>
      <c r="S95" s="113">
        <f>R95*$T$121</f>
        <v>78463902.151422665</v>
      </c>
      <c r="T95" s="169" t="s">
        <v>4498</v>
      </c>
      <c r="U95" s="169">
        <f>$Q$92*$T$92*S95/$R$118+Q92*R92</f>
        <v>474.93926434888351</v>
      </c>
      <c r="V95" s="95">
        <f>S95+U95</f>
        <v>78464377.090687007</v>
      </c>
      <c r="X95" s="115"/>
      <c r="AH95" s="99">
        <v>75</v>
      </c>
      <c r="AI95" s="113" t="s">
        <v>4556</v>
      </c>
      <c r="AJ95" s="113">
        <v>2269000</v>
      </c>
      <c r="AK95" s="99">
        <v>1</v>
      </c>
      <c r="AL95" s="99">
        <f t="shared" ref="AL95:AL100" si="21">AL96+AK95</f>
        <v>6</v>
      </c>
      <c r="AM95" s="117">
        <f t="shared" si="9"/>
        <v>13614000</v>
      </c>
      <c r="AN95" s="99"/>
    </row>
    <row r="96" spans="4:52">
      <c r="D96" s="32" t="s">
        <v>314</v>
      </c>
      <c r="E96" s="1">
        <v>140000</v>
      </c>
      <c r="L96" s="99"/>
      <c r="M96" s="209"/>
      <c r="N96" s="170"/>
      <c r="O96" s="99"/>
      <c r="P96" s="128"/>
      <c r="Q96" s="169" t="s">
        <v>1087</v>
      </c>
      <c r="R96" s="56">
        <v>9370</v>
      </c>
      <c r="S96" s="113">
        <f>R96*$T$121</f>
        <v>2248159.9724756759</v>
      </c>
      <c r="T96" s="169" t="s">
        <v>4498</v>
      </c>
      <c r="U96" s="169">
        <f>$Q$92*$T$92*S96/$R$118</f>
        <v>6.4449949146215859</v>
      </c>
      <c r="V96" s="95">
        <f>S96+U96</f>
        <v>2248166.4174705907</v>
      </c>
      <c r="X96" s="115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1"/>
        <v>5</v>
      </c>
      <c r="AM96" s="117">
        <f t="shared" si="9"/>
        <v>3750000</v>
      </c>
      <c r="AN96" s="99"/>
    </row>
    <row r="97" spans="4:47">
      <c r="D97" s="2" t="s">
        <v>478</v>
      </c>
      <c r="E97" s="3">
        <v>1083333</v>
      </c>
      <c r="L97" s="99"/>
      <c r="M97" s="209"/>
      <c r="N97" s="170"/>
      <c r="O97" s="99"/>
      <c r="P97" s="128"/>
      <c r="Q97" s="169" t="s">
        <v>4486</v>
      </c>
      <c r="R97" s="56">
        <v>33055</v>
      </c>
      <c r="S97" s="113">
        <f>R97*$T$121</f>
        <v>7930942.144096422</v>
      </c>
      <c r="T97" s="169" t="s">
        <v>4498</v>
      </c>
      <c r="U97" s="169">
        <f>$Q$92*$T$92*S97/$R$118</f>
        <v>22.736318772979352</v>
      </c>
      <c r="V97" s="95">
        <f>S97+U97</f>
        <v>7930964.8804151947</v>
      </c>
      <c r="X97" s="115"/>
      <c r="AH97" s="99">
        <v>77</v>
      </c>
      <c r="AI97" s="113" t="s">
        <v>4578</v>
      </c>
      <c r="AJ97" s="113">
        <v>1900000</v>
      </c>
      <c r="AK97" s="99">
        <v>1</v>
      </c>
      <c r="AL97" s="99">
        <f>AL100+AK97</f>
        <v>1</v>
      </c>
      <c r="AM97" s="117">
        <f t="shared" si="9"/>
        <v>1900000</v>
      </c>
      <c r="AN97" s="99"/>
    </row>
    <row r="98" spans="4:47">
      <c r="D98" s="2"/>
      <c r="E98" s="3"/>
      <c r="H98" s="96"/>
      <c r="L98" s="99"/>
      <c r="M98" s="209"/>
      <c r="N98" s="170"/>
      <c r="O98" s="99"/>
      <c r="P98" s="115"/>
      <c r="Q98" s="169"/>
      <c r="R98" s="56"/>
      <c r="S98" s="169"/>
      <c r="T98" s="169"/>
      <c r="U98" s="169"/>
      <c r="V98" s="99"/>
      <c r="X98" s="115"/>
      <c r="AH98" s="99"/>
      <c r="AI98" s="113"/>
      <c r="AJ98" s="113"/>
      <c r="AK98" s="99"/>
      <c r="AL98" s="99"/>
      <c r="AM98" s="117">
        <f t="shared" si="9"/>
        <v>0</v>
      </c>
      <c r="AN98" s="99"/>
    </row>
    <row r="99" spans="4:47">
      <c r="D99" s="2"/>
      <c r="E99" s="3"/>
      <c r="L99" s="99"/>
      <c r="M99" s="209"/>
      <c r="N99" s="170"/>
      <c r="O99" s="99"/>
      <c r="Q99" s="169"/>
      <c r="R99" s="56"/>
      <c r="S99" s="169"/>
      <c r="T99" s="169"/>
      <c r="U99" s="169"/>
      <c r="V99" s="169"/>
      <c r="W99" s="115" t="s">
        <v>25</v>
      </c>
      <c r="X99" s="96"/>
      <c r="Y99">
        <f>R97+U116</f>
        <v>41389</v>
      </c>
      <c r="AH99" s="99"/>
      <c r="AI99" s="113"/>
      <c r="AJ99" s="113"/>
      <c r="AK99" s="99"/>
      <c r="AL99" s="99"/>
      <c r="AM99" s="117">
        <f t="shared" si="9"/>
        <v>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L100" s="99"/>
      <c r="Q100" s="169"/>
      <c r="R100" s="169"/>
      <c r="S100" s="169"/>
      <c r="T100" s="169"/>
      <c r="U100" s="169"/>
      <c r="V100" s="169"/>
      <c r="W100" s="115"/>
      <c r="X100" s="96"/>
      <c r="AB100" s="96"/>
      <c r="AC100" s="96"/>
      <c r="AH100" s="99"/>
      <c r="AI100" s="113"/>
      <c r="AJ100" s="113"/>
      <c r="AK100" s="99"/>
      <c r="AL100" s="99">
        <f t="shared" si="21"/>
        <v>0</v>
      </c>
      <c r="AM100" s="117">
        <f t="shared" si="9"/>
        <v>0</v>
      </c>
      <c r="AN100" s="99"/>
    </row>
    <row r="101" spans="4:47">
      <c r="D101" s="2" t="s">
        <v>328</v>
      </c>
      <c r="E101" s="3">
        <f>E100/30</f>
        <v>112777.76666666666</v>
      </c>
      <c r="L101" s="99"/>
      <c r="M101" s="209">
        <v>3965000</v>
      </c>
      <c r="N101" s="170"/>
      <c r="O101" s="99" t="s">
        <v>4532</v>
      </c>
      <c r="Q101" s="99"/>
      <c r="R101" s="99"/>
      <c r="S101" s="99"/>
      <c r="T101" s="99" t="s">
        <v>25</v>
      </c>
      <c r="U101" s="99"/>
      <c r="V101" s="99"/>
      <c r="W101" s="115"/>
      <c r="X101" s="96"/>
      <c r="AB101" s="96"/>
      <c r="AC101" s="96"/>
      <c r="AH101" s="99"/>
      <c r="AI101" s="113"/>
      <c r="AJ101" s="113"/>
      <c r="AK101" s="99"/>
      <c r="AL101" s="99">
        <f t="shared" si="20"/>
        <v>0</v>
      </c>
      <c r="AM101" s="117">
        <f t="shared" si="9"/>
        <v>0</v>
      </c>
      <c r="AN101" s="99"/>
    </row>
    <row r="102" spans="4:47">
      <c r="L102" s="99"/>
      <c r="M102" s="209">
        <v>3880000</v>
      </c>
      <c r="N102" s="170"/>
      <c r="O102" s="99" t="s">
        <v>4541</v>
      </c>
      <c r="Q102" s="99"/>
      <c r="R102" s="99"/>
      <c r="S102" s="99"/>
      <c r="T102" s="99"/>
      <c r="U102" s="99"/>
      <c r="V102" s="99"/>
      <c r="W102" s="115"/>
      <c r="X102" s="96"/>
      <c r="AB102" s="96"/>
      <c r="AC102" s="96"/>
      <c r="AH102" s="99"/>
      <c r="AI102" s="99"/>
      <c r="AJ102" s="95">
        <f>SUM(AJ20:AJ97)</f>
        <v>227184100</v>
      </c>
      <c r="AK102" s="99"/>
      <c r="AL102" s="99"/>
      <c r="AM102" s="95">
        <f>SUM(AM20:AM101)</f>
        <v>25219672837</v>
      </c>
      <c r="AN102" s="95">
        <f>AM102*AN105/31</f>
        <v>16270756.669032259</v>
      </c>
    </row>
    <row r="103" spans="4:47">
      <c r="L103" s="99" t="s">
        <v>4549</v>
      </c>
      <c r="M103" s="210"/>
      <c r="N103" s="170">
        <v>3894000</v>
      </c>
      <c r="O103" s="99" t="s">
        <v>4543</v>
      </c>
      <c r="Q103" s="99"/>
      <c r="R103" s="99"/>
      <c r="S103" s="99"/>
      <c r="T103" s="99"/>
      <c r="U103" s="99"/>
      <c r="V103" s="99"/>
      <c r="W103" s="115"/>
      <c r="X103" s="96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L104" s="99"/>
      <c r="M104" s="209"/>
      <c r="N104" s="170">
        <v>3845000</v>
      </c>
      <c r="O104" s="99" t="s">
        <v>4543</v>
      </c>
      <c r="Q104" s="96"/>
      <c r="R104" s="96"/>
      <c r="S104" s="96"/>
      <c r="T104" s="96"/>
      <c r="V104" s="96"/>
      <c r="X104" s="115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L105" s="99"/>
      <c r="M105" s="209"/>
      <c r="N105" s="170">
        <v>3845000</v>
      </c>
      <c r="O105" s="99" t="s">
        <v>4543</v>
      </c>
      <c r="Q105" s="96"/>
      <c r="R105" s="96"/>
      <c r="S105" s="96"/>
      <c r="T105" s="96"/>
      <c r="V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L106" s="99"/>
      <c r="M106" s="209"/>
      <c r="N106" s="170">
        <v>3845000</v>
      </c>
      <c r="O106" s="99" t="s">
        <v>4543</v>
      </c>
      <c r="Q106" s="96"/>
      <c r="R106" s="96"/>
      <c r="S106" s="96"/>
      <c r="T106" s="96" t="s">
        <v>25</v>
      </c>
      <c r="V106" s="96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L107" s="99" t="s">
        <v>4553</v>
      </c>
      <c r="M107" s="209">
        <v>3990000</v>
      </c>
      <c r="N107" s="170"/>
      <c r="O107" s="99" t="s">
        <v>4547</v>
      </c>
      <c r="Q107" s="96"/>
      <c r="R107" s="96"/>
      <c r="S107" s="96"/>
      <c r="T107" s="96"/>
      <c r="V107" s="96"/>
      <c r="AB107" s="96"/>
      <c r="AC107" s="96"/>
      <c r="AH107" s="99"/>
      <c r="AI107" s="99" t="s">
        <v>4064</v>
      </c>
      <c r="AJ107" s="95">
        <f>AJ102+AN102</f>
        <v>243454856.66903225</v>
      </c>
      <c r="AK107" s="99"/>
      <c r="AL107" s="99"/>
      <c r="AM107" s="99"/>
      <c r="AN107" s="99"/>
    </row>
    <row r="108" spans="4:47">
      <c r="L108" s="99"/>
      <c r="M108" s="209">
        <v>3915000</v>
      </c>
      <c r="N108" s="170"/>
      <c r="O108" s="99" t="s">
        <v>4550</v>
      </c>
      <c r="Q108" s="96"/>
      <c r="R108" s="96"/>
      <c r="S108" s="96"/>
      <c r="T108" s="99" t="s">
        <v>180</v>
      </c>
      <c r="U108" s="99" t="s">
        <v>4524</v>
      </c>
      <c r="V108" s="99" t="s">
        <v>4525</v>
      </c>
      <c r="W108" s="99" t="s">
        <v>4539</v>
      </c>
      <c r="X108" s="99" t="s">
        <v>8</v>
      </c>
      <c r="AB108" s="96"/>
      <c r="AC108" s="96"/>
      <c r="AI108" t="s">
        <v>4067</v>
      </c>
      <c r="AJ108" s="114">
        <f>SUM(N42:N53)-N46</f>
        <v>232934841.20000002</v>
      </c>
    </row>
    <row r="109" spans="4:47" ht="30">
      <c r="L109" s="99"/>
      <c r="M109" s="209">
        <v>3821000</v>
      </c>
      <c r="N109" s="170"/>
      <c r="O109" s="99" t="s">
        <v>4556</v>
      </c>
      <c r="Q109" s="36" t="s">
        <v>4490</v>
      </c>
      <c r="R109" s="95">
        <f>SUM(N44:N53)</f>
        <v>233446104.20000002</v>
      </c>
      <c r="T109" s="113" t="s">
        <v>4498</v>
      </c>
      <c r="U109" s="56">
        <v>1000000</v>
      </c>
      <c r="V109" s="113">
        <v>239.024</v>
      </c>
      <c r="W109" s="113">
        <f>U109*V109</f>
        <v>239024000</v>
      </c>
      <c r="X109" s="99"/>
      <c r="AC109" s="96"/>
      <c r="AD109" s="96"/>
      <c r="AE109"/>
      <c r="AF109"/>
      <c r="AI109" t="s">
        <v>4139</v>
      </c>
      <c r="AJ109" s="114">
        <f>AJ108-AJ102</f>
        <v>5750741.2000000179</v>
      </c>
      <c r="AM109" t="s">
        <v>25</v>
      </c>
    </row>
    <row r="110" spans="4:47">
      <c r="L110" s="99"/>
      <c r="M110" s="209">
        <v>3610000</v>
      </c>
      <c r="N110" s="170"/>
      <c r="O110" s="99" t="s">
        <v>4578</v>
      </c>
      <c r="Q110" s="99" t="s">
        <v>4488</v>
      </c>
      <c r="R110" s="95">
        <f>SUM(N21:N26)</f>
        <v>24544525</v>
      </c>
      <c r="T110" s="169" t="s">
        <v>4474</v>
      </c>
      <c r="U110" s="56">
        <v>5904</v>
      </c>
      <c r="V110" s="113">
        <v>237.148</v>
      </c>
      <c r="W110" s="113">
        <f t="shared" ref="W110:W117" si="22">U110*V110</f>
        <v>1400121.7919999999</v>
      </c>
      <c r="X110" s="99" t="s">
        <v>1087</v>
      </c>
      <c r="AI110" t="s">
        <v>943</v>
      </c>
      <c r="AJ110" s="114">
        <f>AN102</f>
        <v>16270756.669032259</v>
      </c>
    </row>
    <row r="111" spans="4:47">
      <c r="L111" s="99"/>
      <c r="M111" s="209"/>
      <c r="N111" s="170"/>
      <c r="O111" s="99"/>
      <c r="Q111" s="99" t="s">
        <v>4489</v>
      </c>
      <c r="R111" s="95">
        <f>SUM(N29:N31)</f>
        <v>2766016.2</v>
      </c>
      <c r="T111" s="169" t="s">
        <v>4235</v>
      </c>
      <c r="U111" s="169">
        <v>1000</v>
      </c>
      <c r="V111" s="113">
        <v>247.393</v>
      </c>
      <c r="W111" s="113">
        <f t="shared" si="22"/>
        <v>247393</v>
      </c>
      <c r="X111" s="99" t="s">
        <v>751</v>
      </c>
      <c r="AI111" t="s">
        <v>4068</v>
      </c>
      <c r="AJ111" s="114">
        <f>AJ108-AJ107</f>
        <v>-10520015.469032228</v>
      </c>
      <c r="AR111" s="96"/>
      <c r="AS111" s="96"/>
      <c r="AT111"/>
      <c r="AU111"/>
    </row>
    <row r="112" spans="4:47">
      <c r="L112" s="99"/>
      <c r="M112" s="170"/>
      <c r="N112" s="170"/>
      <c r="O112" s="99"/>
      <c r="Q112" s="99" t="s">
        <v>4491</v>
      </c>
      <c r="R112" s="95">
        <f>N42</f>
        <v>108099</v>
      </c>
      <c r="T112" s="169" t="s">
        <v>4543</v>
      </c>
      <c r="U112" s="169">
        <v>8071</v>
      </c>
      <c r="V112" s="113">
        <v>247.797</v>
      </c>
      <c r="W112" s="113">
        <f t="shared" si="22"/>
        <v>1999969.5870000001</v>
      </c>
      <c r="X112" s="99" t="s">
        <v>4486</v>
      </c>
      <c r="AM112" t="s">
        <v>25</v>
      </c>
    </row>
    <row r="113" spans="13:43">
      <c r="M113" s="58"/>
      <c r="N113" s="58"/>
      <c r="O113" s="115"/>
      <c r="Q113" s="99" t="s">
        <v>4492</v>
      </c>
      <c r="R113" s="95">
        <f>N20</f>
        <v>147902</v>
      </c>
      <c r="T113" s="169" t="s">
        <v>4543</v>
      </c>
      <c r="U113" s="169">
        <v>53672</v>
      </c>
      <c r="V113" s="113">
        <v>247.797</v>
      </c>
      <c r="W113" s="113">
        <f t="shared" si="22"/>
        <v>13299760.584000001</v>
      </c>
      <c r="X113" s="99" t="s">
        <v>452</v>
      </c>
      <c r="AJ113" t="s">
        <v>25</v>
      </c>
    </row>
    <row r="114" spans="13:43">
      <c r="M114" t="s">
        <v>25</v>
      </c>
      <c r="Q114" s="99" t="s">
        <v>4493</v>
      </c>
      <c r="R114" s="95">
        <f>N28</f>
        <v>94075</v>
      </c>
      <c r="T114" s="169" t="s">
        <v>4556</v>
      </c>
      <c r="U114" s="169">
        <v>4099</v>
      </c>
      <c r="V114" s="113">
        <v>243.93</v>
      </c>
      <c r="W114" s="113">
        <f t="shared" si="22"/>
        <v>999869.07000000007</v>
      </c>
      <c r="X114" s="99" t="s">
        <v>4486</v>
      </c>
    </row>
    <row r="115" spans="13:43">
      <c r="M115" s="114">
        <f>SUM(N101:N106)-SUM(M101:M108)</f>
        <v>-321000</v>
      </c>
      <c r="N115" t="s">
        <v>916</v>
      </c>
      <c r="Q115" s="99" t="s">
        <v>4505</v>
      </c>
      <c r="R115" s="95">
        <v>100000</v>
      </c>
      <c r="T115" s="169" t="s">
        <v>4556</v>
      </c>
      <c r="U115" s="169">
        <v>9301</v>
      </c>
      <c r="V115" s="113">
        <v>243.93</v>
      </c>
      <c r="W115" s="113">
        <f t="shared" si="22"/>
        <v>2268792.9300000002</v>
      </c>
      <c r="X115" s="99" t="s">
        <v>452</v>
      </c>
    </row>
    <row r="116" spans="13:43">
      <c r="Q116" s="99" t="s">
        <v>4562</v>
      </c>
      <c r="R116" s="95">
        <v>410239</v>
      </c>
      <c r="T116" s="169" t="s">
        <v>4576</v>
      </c>
      <c r="U116" s="169">
        <v>8334</v>
      </c>
      <c r="V116" s="113">
        <v>239.97</v>
      </c>
      <c r="W116" s="113">
        <f t="shared" si="22"/>
        <v>1999909.98</v>
      </c>
      <c r="X116" s="99" t="s">
        <v>4486</v>
      </c>
    </row>
    <row r="117" spans="13:43">
      <c r="Q117" s="99"/>
      <c r="R117" s="99"/>
      <c r="T117" s="169"/>
      <c r="U117" s="169"/>
      <c r="V117" s="113"/>
      <c r="W117" s="113">
        <f t="shared" si="22"/>
        <v>0</v>
      </c>
      <c r="X117" s="99"/>
    </row>
    <row r="118" spans="13:43">
      <c r="Q118" s="99" t="s">
        <v>4497</v>
      </c>
      <c r="R118" s="95">
        <f>SUM(R109:R116)</f>
        <v>261616960.40000001</v>
      </c>
      <c r="S118" s="115"/>
      <c r="T118" s="169"/>
      <c r="U118" s="169">
        <f>SUM(U109:U116)</f>
        <v>1090381</v>
      </c>
      <c r="V118" s="99"/>
      <c r="W118" s="99"/>
      <c r="X118" s="99"/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4304</v>
      </c>
    </row>
    <row r="119" spans="13:43">
      <c r="S119" s="122"/>
      <c r="T119" s="99"/>
      <c r="U119" s="99" t="s">
        <v>6</v>
      </c>
      <c r="V119" s="99"/>
      <c r="W119" s="99"/>
      <c r="X119" s="99"/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135</v>
      </c>
      <c r="AM119" s="99">
        <f>AJ119*AL119</f>
        <v>480035700</v>
      </c>
      <c r="AN119" s="99" t="s">
        <v>4328</v>
      </c>
    </row>
    <row r="120" spans="13:43">
      <c r="Q120" s="55"/>
      <c r="R120" s="186"/>
      <c r="S120" s="115"/>
      <c r="T120" s="206" t="s">
        <v>4526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2" si="23">AK120+AL121</f>
        <v>133</v>
      </c>
      <c r="AM120" s="99">
        <f t="shared" ref="AM120:AM142" si="24">AJ120*AL120</f>
        <v>228871321</v>
      </c>
      <c r="AN120" s="99" t="s">
        <v>4329</v>
      </c>
      <c r="AO120" t="s">
        <v>25</v>
      </c>
    </row>
    <row r="121" spans="13:43">
      <c r="Q121" s="55"/>
      <c r="R121" s="186"/>
      <c r="S121" s="115"/>
      <c r="T121" s="205">
        <f>R118/U118</f>
        <v>239.93169396752145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3"/>
        <v>82</v>
      </c>
      <c r="AM121" s="99">
        <f t="shared" si="24"/>
        <v>12300000</v>
      </c>
      <c r="AN121" s="99"/>
      <c r="AP121" t="s">
        <v>25</v>
      </c>
    </row>
    <row r="122" spans="13:43">
      <c r="Q122" s="122"/>
      <c r="R122" s="115"/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3"/>
        <v>79</v>
      </c>
      <c r="AM122" s="99">
        <f t="shared" si="24"/>
        <v>-7505000</v>
      </c>
      <c r="AN122" s="99"/>
      <c r="AQ122" t="s">
        <v>25</v>
      </c>
    </row>
    <row r="123" spans="13:43">
      <c r="U123" s="96" t="s">
        <v>267</v>
      </c>
      <c r="V123" t="s">
        <v>4527</v>
      </c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3"/>
        <v>71</v>
      </c>
      <c r="AM123" s="99">
        <f t="shared" si="24"/>
        <v>223650000</v>
      </c>
      <c r="AN123" s="99"/>
    </row>
    <row r="124" spans="13:43">
      <c r="Q124" s="99" t="s">
        <v>4486</v>
      </c>
      <c r="R124" s="99"/>
      <c r="U124" s="113">
        <v>2000000</v>
      </c>
      <c r="V124">
        <f>U124/T121</f>
        <v>8335.705745780846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3"/>
        <v>55</v>
      </c>
      <c r="AM124" s="99">
        <f t="shared" si="24"/>
        <v>-3575000</v>
      </c>
      <c r="AN124" s="99"/>
    </row>
    <row r="125" spans="13:43">
      <c r="Q125" s="36" t="s">
        <v>180</v>
      </c>
      <c r="R125" s="99" t="s">
        <v>267</v>
      </c>
      <c r="X125" t="s">
        <v>25</v>
      </c>
      <c r="AH125" s="99">
        <v>7</v>
      </c>
      <c r="AI125" s="99" t="s">
        <v>4330</v>
      </c>
      <c r="AJ125" s="117">
        <v>-95000</v>
      </c>
      <c r="AK125" s="99">
        <v>6</v>
      </c>
      <c r="AL125" s="99">
        <f t="shared" si="23"/>
        <v>54</v>
      </c>
      <c r="AM125" s="99">
        <f t="shared" si="24"/>
        <v>-5130000</v>
      </c>
      <c r="AN125" s="99"/>
    </row>
    <row r="126" spans="13:43">
      <c r="Q126" s="99" t="s">
        <v>4474</v>
      </c>
      <c r="R126" s="95">
        <v>3000000</v>
      </c>
      <c r="AH126" s="99">
        <v>8</v>
      </c>
      <c r="AI126" s="99" t="s">
        <v>4331</v>
      </c>
      <c r="AJ126" s="117">
        <v>232000</v>
      </c>
      <c r="AK126" s="99">
        <v>7</v>
      </c>
      <c r="AL126" s="99">
        <f t="shared" si="23"/>
        <v>48</v>
      </c>
      <c r="AM126" s="99">
        <f t="shared" si="24"/>
        <v>11136000</v>
      </c>
      <c r="AN126" s="99"/>
    </row>
    <row r="127" spans="13:43">
      <c r="Q127" s="99" t="s">
        <v>4543</v>
      </c>
      <c r="R127" s="95">
        <v>2000000</v>
      </c>
      <c r="AH127" s="99">
        <v>9</v>
      </c>
      <c r="AI127" s="99" t="s">
        <v>4303</v>
      </c>
      <c r="AJ127" s="117">
        <v>13000000</v>
      </c>
      <c r="AK127" s="99">
        <v>2</v>
      </c>
      <c r="AL127" s="99">
        <f t="shared" si="23"/>
        <v>41</v>
      </c>
      <c r="AM127" s="99">
        <f t="shared" si="24"/>
        <v>533000000</v>
      </c>
      <c r="AN127" s="99"/>
    </row>
    <row r="128" spans="13:43">
      <c r="Q128" s="99" t="s">
        <v>4556</v>
      </c>
      <c r="R128" s="95">
        <v>1000000</v>
      </c>
      <c r="AH128" s="99">
        <v>10</v>
      </c>
      <c r="AI128" s="99" t="s">
        <v>4332</v>
      </c>
      <c r="AJ128" s="117">
        <v>10000000</v>
      </c>
      <c r="AK128" s="99">
        <v>3</v>
      </c>
      <c r="AL128" s="99">
        <f t="shared" si="23"/>
        <v>39</v>
      </c>
      <c r="AM128" s="99">
        <f t="shared" si="24"/>
        <v>390000000</v>
      </c>
      <c r="AN128" s="99"/>
    </row>
    <row r="129" spans="17:40" ht="60">
      <c r="Q129" s="99" t="s">
        <v>4576</v>
      </c>
      <c r="R129" s="95">
        <v>2000000</v>
      </c>
      <c r="T129" s="22" t="s">
        <v>4508</v>
      </c>
      <c r="AH129" s="99">
        <v>11</v>
      </c>
      <c r="AI129" s="99" t="s">
        <v>4316</v>
      </c>
      <c r="AJ129" s="117">
        <v>3400000</v>
      </c>
      <c r="AK129" s="99">
        <v>9</v>
      </c>
      <c r="AL129" s="99">
        <f t="shared" si="23"/>
        <v>36</v>
      </c>
      <c r="AM129" s="99">
        <f t="shared" si="24"/>
        <v>122400000</v>
      </c>
      <c r="AN129" s="99"/>
    </row>
    <row r="130" spans="17:40" ht="45">
      <c r="Q130" s="99"/>
      <c r="R130" s="95"/>
      <c r="T130" s="22" t="s">
        <v>4509</v>
      </c>
      <c r="AH130" s="99">
        <v>12</v>
      </c>
      <c r="AI130" s="99" t="s">
        <v>4364</v>
      </c>
      <c r="AJ130" s="117">
        <v>-8736514</v>
      </c>
      <c r="AK130" s="99">
        <v>1</v>
      </c>
      <c r="AL130" s="99">
        <f>AK130+AL131</f>
        <v>27</v>
      </c>
      <c r="AM130" s="99">
        <f t="shared" si="24"/>
        <v>-235885878</v>
      </c>
      <c r="AN130" s="99"/>
    </row>
    <row r="131" spans="17:40">
      <c r="Q131" s="99"/>
      <c r="R131" s="95"/>
      <c r="AH131" s="99">
        <v>13</v>
      </c>
      <c r="AI131" s="99" t="s">
        <v>4365</v>
      </c>
      <c r="AJ131" s="117">
        <v>555000</v>
      </c>
      <c r="AK131" s="99">
        <v>5</v>
      </c>
      <c r="AL131" s="99">
        <f t="shared" ref="AL131:AL141" si="25">AK131+AL132</f>
        <v>26</v>
      </c>
      <c r="AM131" s="99">
        <f t="shared" si="24"/>
        <v>14430000</v>
      </c>
      <c r="AN131" s="99"/>
    </row>
    <row r="132" spans="17:40">
      <c r="Q132" s="99"/>
      <c r="R132" s="95">
        <f>SUM(R126:R130)</f>
        <v>8000000</v>
      </c>
      <c r="AH132" s="99">
        <v>14</v>
      </c>
      <c r="AI132" s="99" t="s">
        <v>4389</v>
      </c>
      <c r="AJ132" s="117">
        <v>-448308</v>
      </c>
      <c r="AK132" s="99">
        <v>6</v>
      </c>
      <c r="AL132" s="99">
        <f t="shared" si="25"/>
        <v>21</v>
      </c>
      <c r="AM132" s="99">
        <f t="shared" si="24"/>
        <v>-9414468</v>
      </c>
      <c r="AN132" s="99"/>
    </row>
    <row r="133" spans="17:40">
      <c r="Q133" s="99"/>
      <c r="R133" s="99" t="s">
        <v>6</v>
      </c>
      <c r="T133" s="99" t="s">
        <v>4528</v>
      </c>
      <c r="U133" s="99" t="s">
        <v>4497</v>
      </c>
      <c r="V133" s="99" t="s">
        <v>953</v>
      </c>
      <c r="AH133" s="99">
        <v>15</v>
      </c>
      <c r="AI133" s="99" t="s">
        <v>4423</v>
      </c>
      <c r="AJ133" s="117">
        <v>33225</v>
      </c>
      <c r="AK133" s="99">
        <v>0</v>
      </c>
      <c r="AL133" s="99">
        <f t="shared" si="25"/>
        <v>15</v>
      </c>
      <c r="AM133" s="99">
        <f t="shared" si="24"/>
        <v>498375</v>
      </c>
      <c r="AN133" s="99"/>
    </row>
    <row r="134" spans="17:40">
      <c r="T134" s="95">
        <f>R132+R140+R149+R158</f>
        <v>261239393</v>
      </c>
      <c r="U134" s="95">
        <f>R118</f>
        <v>261616960.40000001</v>
      </c>
      <c r="V134" s="95">
        <f>U134-T134</f>
        <v>377567.40000000596</v>
      </c>
      <c r="AH134" s="149">
        <v>16</v>
      </c>
      <c r="AI134" s="149" t="s">
        <v>4423</v>
      </c>
      <c r="AJ134" s="193">
        <v>4098523</v>
      </c>
      <c r="AK134" s="149">
        <v>2</v>
      </c>
      <c r="AL134" s="149">
        <f t="shared" si="25"/>
        <v>15</v>
      </c>
      <c r="AM134" s="149">
        <f t="shared" si="24"/>
        <v>61477845</v>
      </c>
      <c r="AN134" s="149" t="s">
        <v>657</v>
      </c>
    </row>
    <row r="135" spans="17:40">
      <c r="Q135" s="99" t="s">
        <v>1087</v>
      </c>
      <c r="R135" s="99"/>
      <c r="AH135" s="149">
        <v>17</v>
      </c>
      <c r="AI135" s="149" t="s">
        <v>4439</v>
      </c>
      <c r="AJ135" s="193">
        <v>-1000000</v>
      </c>
      <c r="AK135" s="149">
        <v>7</v>
      </c>
      <c r="AL135" s="149">
        <f t="shared" si="25"/>
        <v>13</v>
      </c>
      <c r="AM135" s="149">
        <f t="shared" si="24"/>
        <v>-13000000</v>
      </c>
      <c r="AN135" s="149" t="s">
        <v>657</v>
      </c>
    </row>
    <row r="136" spans="17:40">
      <c r="Q136" s="99" t="s">
        <v>4474</v>
      </c>
      <c r="R136" s="95">
        <v>828000</v>
      </c>
      <c r="AH136" s="149">
        <v>18</v>
      </c>
      <c r="AI136" s="149" t="s">
        <v>4465</v>
      </c>
      <c r="AJ136" s="193">
        <v>750000</v>
      </c>
      <c r="AK136" s="149">
        <v>1</v>
      </c>
      <c r="AL136" s="149">
        <f t="shared" si="25"/>
        <v>6</v>
      </c>
      <c r="AM136" s="149">
        <f t="shared" si="24"/>
        <v>4500000</v>
      </c>
      <c r="AN136" s="149" t="s">
        <v>657</v>
      </c>
    </row>
    <row r="137" spans="17:40">
      <c r="Q137" s="99" t="s">
        <v>4523</v>
      </c>
      <c r="R137" s="95">
        <v>1400000</v>
      </c>
      <c r="AH137" s="201">
        <v>19</v>
      </c>
      <c r="AI137" s="201" t="s">
        <v>4472</v>
      </c>
      <c r="AJ137" s="202">
        <v>-604152</v>
      </c>
      <c r="AK137" s="201">
        <v>0</v>
      </c>
      <c r="AL137" s="201">
        <f t="shared" si="25"/>
        <v>5</v>
      </c>
      <c r="AM137" s="201">
        <f t="shared" si="24"/>
        <v>-3020760</v>
      </c>
      <c r="AN137" s="201" t="s">
        <v>657</v>
      </c>
    </row>
    <row r="138" spans="17:40">
      <c r="Q138" s="99"/>
      <c r="R138" s="95"/>
      <c r="AH138" s="99">
        <v>20</v>
      </c>
      <c r="AI138" s="99" t="s">
        <v>4473</v>
      </c>
      <c r="AJ138" s="117">
        <v>-587083</v>
      </c>
      <c r="AK138" s="99">
        <v>4</v>
      </c>
      <c r="AL138" s="99">
        <f t="shared" si="25"/>
        <v>5</v>
      </c>
      <c r="AM138" s="99">
        <f t="shared" si="24"/>
        <v>-2935415</v>
      </c>
      <c r="AN138" s="99"/>
    </row>
    <row r="139" spans="17:40">
      <c r="Q139" s="99"/>
      <c r="R139" s="95"/>
      <c r="AH139" s="201">
        <v>21</v>
      </c>
      <c r="AI139" s="201" t="s">
        <v>4474</v>
      </c>
      <c r="AJ139" s="202">
        <v>-754351</v>
      </c>
      <c r="AK139" s="201">
        <v>0</v>
      </c>
      <c r="AL139" s="201">
        <f t="shared" si="25"/>
        <v>1</v>
      </c>
      <c r="AM139" s="201">
        <f t="shared" si="24"/>
        <v>-754351</v>
      </c>
      <c r="AN139" s="201" t="s">
        <v>657</v>
      </c>
    </row>
    <row r="140" spans="17:40">
      <c r="Q140" s="99"/>
      <c r="R140" s="95">
        <f>SUM(R136:R138)</f>
        <v>2228000</v>
      </c>
      <c r="AH140" s="99">
        <v>22</v>
      </c>
      <c r="AI140" s="99" t="s">
        <v>4474</v>
      </c>
      <c r="AJ140" s="117">
        <v>-189619</v>
      </c>
      <c r="AK140" s="99">
        <v>1</v>
      </c>
      <c r="AL140" s="99">
        <f t="shared" si="25"/>
        <v>1</v>
      </c>
      <c r="AM140" s="99">
        <f t="shared" si="24"/>
        <v>-189619</v>
      </c>
      <c r="AN140" s="99"/>
    </row>
    <row r="141" spans="17:40">
      <c r="Q141" s="99"/>
      <c r="R141" s="99" t="s">
        <v>6</v>
      </c>
      <c r="AH141" s="99"/>
      <c r="AI141" s="99"/>
      <c r="AJ141" s="99"/>
      <c r="AK141" s="99"/>
      <c r="AL141" s="99">
        <f t="shared" si="25"/>
        <v>0</v>
      </c>
      <c r="AM141" s="99">
        <f t="shared" si="24"/>
        <v>0</v>
      </c>
      <c r="AN141" s="99"/>
    </row>
    <row r="142" spans="17:40">
      <c r="AH142" s="99"/>
      <c r="AI142" s="99"/>
      <c r="AJ142" s="99"/>
      <c r="AK142" s="99"/>
      <c r="AL142" s="99">
        <f t="shared" si="23"/>
        <v>0</v>
      </c>
      <c r="AM142" s="99">
        <f t="shared" si="24"/>
        <v>0</v>
      </c>
      <c r="AN142" s="99"/>
    </row>
    <row r="143" spans="17:40">
      <c r="Q143" s="99" t="s">
        <v>751</v>
      </c>
      <c r="R143" s="99"/>
      <c r="AH143" s="99"/>
      <c r="AI143" s="99"/>
      <c r="AJ143" s="99"/>
      <c r="AK143" s="99"/>
      <c r="AL143" s="99"/>
      <c r="AM143" s="99"/>
      <c r="AN143" s="99"/>
    </row>
    <row r="144" spans="17:40">
      <c r="Q144" s="99" t="s">
        <v>4474</v>
      </c>
      <c r="R144" s="95">
        <v>172080000</v>
      </c>
      <c r="AH144" s="99"/>
      <c r="AI144" s="99"/>
      <c r="AJ144" s="95">
        <f>SUM(AJ119:AJ143)</f>
        <v>28070378</v>
      </c>
      <c r="AK144" s="99"/>
      <c r="AL144" s="99"/>
      <c r="AM144" s="99">
        <f>SUM(AM119:AM143)</f>
        <v>1800888750</v>
      </c>
      <c r="AN144" s="95">
        <f>AM144*AN105/31</f>
        <v>1161863.7096774194</v>
      </c>
    </row>
    <row r="145" spans="17:40">
      <c r="Q145" s="99" t="s">
        <v>4235</v>
      </c>
      <c r="R145" s="95">
        <v>247393</v>
      </c>
      <c r="AJ145" t="s">
        <v>4062</v>
      </c>
      <c r="AM145" t="s">
        <v>284</v>
      </c>
      <c r="AN145" t="s">
        <v>943</v>
      </c>
    </row>
    <row r="146" spans="17:40">
      <c r="Q146" s="99"/>
      <c r="R146" s="95"/>
    </row>
    <row r="147" spans="17:40">
      <c r="Q147" s="99"/>
      <c r="R147" s="95"/>
      <c r="AI147" t="s">
        <v>4064</v>
      </c>
      <c r="AJ147" s="114">
        <f>AJ144+AN144</f>
        <v>29232241.709677421</v>
      </c>
    </row>
    <row r="148" spans="17:40">
      <c r="Q148" s="99"/>
      <c r="R148" s="95"/>
      <c r="AI148" t="s">
        <v>4067</v>
      </c>
      <c r="AJ148" s="114">
        <f>SUM(N20:N31)</f>
        <v>27552518.199999999</v>
      </c>
    </row>
    <row r="149" spans="17:40">
      <c r="Q149" s="99"/>
      <c r="R149" s="95">
        <f>SUM(R144:R147)</f>
        <v>172327393</v>
      </c>
      <c r="AI149" t="s">
        <v>4139</v>
      </c>
      <c r="AJ149" s="114">
        <f>AJ148-AJ144</f>
        <v>-517859.80000000075</v>
      </c>
    </row>
    <row r="150" spans="17:40">
      <c r="Q150" s="99"/>
      <c r="R150" s="99" t="s">
        <v>6</v>
      </c>
      <c r="T150" t="s">
        <v>25</v>
      </c>
      <c r="AI150" t="s">
        <v>943</v>
      </c>
      <c r="AJ150" s="114">
        <f>AN144</f>
        <v>1161863.7096774194</v>
      </c>
    </row>
    <row r="151" spans="17:40">
      <c r="AI151" t="s">
        <v>4068</v>
      </c>
      <c r="AJ151" s="114">
        <f>AJ149-AJ150</f>
        <v>-1679723.5096774201</v>
      </c>
    </row>
    <row r="153" spans="17:40">
      <c r="Q153" s="99" t="s">
        <v>452</v>
      </c>
      <c r="R153" s="99"/>
    </row>
    <row r="154" spans="17:40">
      <c r="Q154" s="99" t="s">
        <v>4474</v>
      </c>
      <c r="R154" s="95">
        <v>63115000</v>
      </c>
    </row>
    <row r="155" spans="17:40">
      <c r="Q155" s="99" t="s">
        <v>4543</v>
      </c>
      <c r="R155" s="95">
        <v>13300000</v>
      </c>
    </row>
    <row r="156" spans="17:40">
      <c r="Q156" s="99" t="s">
        <v>4556</v>
      </c>
      <c r="R156" s="95">
        <v>2269000</v>
      </c>
    </row>
    <row r="157" spans="17:40">
      <c r="Q157" s="99"/>
      <c r="R157" s="95"/>
    </row>
    <row r="158" spans="17:40">
      <c r="Q158" s="99"/>
      <c r="R158" s="95">
        <f>SUM(R154:R156)</f>
        <v>78684000</v>
      </c>
    </row>
    <row r="159" spans="17:40">
      <c r="Q159" s="99"/>
      <c r="R159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9:P30 S29 P22 U95 S7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4459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2018-12-15T10:20:13Z</dcterms:modified>
</cp:coreProperties>
</file>