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P121" i="52" l="1"/>
  <c r="O121" i="52"/>
  <c r="J121" i="52"/>
  <c r="P23" i="18"/>
  <c r="N23" i="18" s="1"/>
  <c r="P28" i="18"/>
  <c r="N28" i="18" s="1"/>
  <c r="N45" i="18"/>
  <c r="O40" i="18"/>
  <c r="P131" i="18"/>
  <c r="W219" i="18"/>
  <c r="D28" i="60" l="1"/>
  <c r="D30" i="60"/>
  <c r="D31" i="60" s="1"/>
  <c r="D32" i="60" s="1"/>
  <c r="D33" i="60" s="1"/>
  <c r="W218" i="18"/>
  <c r="P120" i="52"/>
  <c r="J120" i="52"/>
  <c r="M103" i="18"/>
  <c r="D34" i="60" l="1"/>
  <c r="D35" i="60" s="1"/>
  <c r="D36" i="60" s="1"/>
  <c r="D37" i="60" s="1"/>
  <c r="D38" i="60" s="1"/>
  <c r="D39" i="60" s="1"/>
  <c r="D40" i="60" s="1"/>
  <c r="D41" i="60" s="1"/>
  <c r="D42" i="60" s="1"/>
  <c r="D43" i="60" s="1"/>
  <c r="D44" i="60" s="1"/>
  <c r="D45" i="60" s="1"/>
  <c r="D46" i="60" s="1"/>
  <c r="D47" i="60" s="1"/>
  <c r="D48" i="60" s="1"/>
  <c r="D49" i="60" s="1"/>
  <c r="D50" i="60" s="1"/>
  <c r="D51" i="60" s="1"/>
  <c r="D52" i="60" s="1"/>
  <c r="D53" i="60" s="1"/>
  <c r="D54" i="60" s="1"/>
  <c r="D55" i="60" s="1"/>
  <c r="D56" i="60" s="1"/>
  <c r="D57" i="60" s="1"/>
  <c r="D58" i="60" s="1"/>
  <c r="D59" i="60" s="1"/>
  <c r="D60" i="60" s="1"/>
  <c r="D61" i="60" s="1"/>
  <c r="D62" i="60" s="1"/>
  <c r="D63" i="60" s="1"/>
  <c r="D64" i="60" s="1"/>
  <c r="D65" i="60" s="1"/>
  <c r="D66" i="60" s="1"/>
  <c r="D67" i="60" s="1"/>
  <c r="D68" i="60" s="1"/>
  <c r="D69" i="60" s="1"/>
  <c r="D70" i="60" s="1"/>
  <c r="D71" i="60" s="1"/>
  <c r="D72" i="60" s="1"/>
  <c r="D73" i="60" s="1"/>
  <c r="D74" i="60" s="1"/>
  <c r="D75" i="60" s="1"/>
  <c r="D76" i="60" s="1"/>
  <c r="D77" i="60" s="1"/>
  <c r="D78" i="60" s="1"/>
  <c r="D79" i="60" s="1"/>
  <c r="D80" i="60" s="1"/>
  <c r="P117" i="52" l="1"/>
  <c r="O117" i="52"/>
  <c r="P116" i="52" l="1"/>
  <c r="O116" i="52"/>
  <c r="N116" i="52"/>
  <c r="R181" i="18" l="1"/>
  <c r="U221" i="18"/>
  <c r="W217" i="18"/>
  <c r="E289" i="15" l="1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D312" i="15"/>
  <c r="D311" i="15" s="1"/>
  <c r="E312" i="15"/>
  <c r="D313" i="15"/>
  <c r="E313" i="15"/>
  <c r="F313" i="15"/>
  <c r="E281" i="15"/>
  <c r="E282" i="15"/>
  <c r="E283" i="15"/>
  <c r="E284" i="15"/>
  <c r="E285" i="15"/>
  <c r="E286" i="15"/>
  <c r="E287" i="15"/>
  <c r="E288" i="15"/>
  <c r="F312" i="15" l="1"/>
  <c r="F311" i="15"/>
  <c r="D310" i="15"/>
  <c r="K107" i="18"/>
  <c r="D309" i="15" l="1"/>
  <c r="F310" i="15"/>
  <c r="D308" i="15" l="1"/>
  <c r="F309" i="15"/>
  <c r="D307" i="15" l="1"/>
  <c r="F308" i="15"/>
  <c r="O112" i="52"/>
  <c r="AD49" i="52"/>
  <c r="AD48" i="52"/>
  <c r="AE48" i="52"/>
  <c r="AE49" i="52"/>
  <c r="AD50" i="52"/>
  <c r="AE50" i="52"/>
  <c r="AD51" i="52"/>
  <c r="AE51" i="52"/>
  <c r="AD52" i="52"/>
  <c r="AE52" i="52"/>
  <c r="AD53" i="52"/>
  <c r="AE53" i="52"/>
  <c r="AD54" i="52"/>
  <c r="AE54" i="52"/>
  <c r="AD55" i="52"/>
  <c r="AE55" i="52"/>
  <c r="AD56" i="52"/>
  <c r="AE56" i="52"/>
  <c r="AD57" i="52"/>
  <c r="AE57" i="52"/>
  <c r="AD58" i="52"/>
  <c r="AE58" i="52"/>
  <c r="AD59" i="52"/>
  <c r="AE59" i="52"/>
  <c r="AD60" i="52"/>
  <c r="AE60" i="52"/>
  <c r="AD61" i="52"/>
  <c r="AE61" i="52"/>
  <c r="AD62" i="52"/>
  <c r="AE62" i="52"/>
  <c r="AD47" i="52"/>
  <c r="AE47" i="52"/>
  <c r="F307" i="15" l="1"/>
  <c r="D306" i="15"/>
  <c r="O126" i="52"/>
  <c r="N126" i="52"/>
  <c r="O125" i="52"/>
  <c r="N125" i="52"/>
  <c r="O124" i="52"/>
  <c r="N124" i="52"/>
  <c r="O123" i="52"/>
  <c r="N123" i="52"/>
  <c r="O122" i="52"/>
  <c r="N122" i="52"/>
  <c r="N121" i="52"/>
  <c r="O120" i="52"/>
  <c r="N120" i="52"/>
  <c r="O119" i="52"/>
  <c r="N119" i="52"/>
  <c r="O118" i="52"/>
  <c r="N118" i="52"/>
  <c r="N117" i="52"/>
  <c r="O115" i="52"/>
  <c r="N115" i="52"/>
  <c r="O114" i="52"/>
  <c r="N114" i="52"/>
  <c r="O113" i="52"/>
  <c r="N113" i="52"/>
  <c r="N112" i="52"/>
  <c r="O111" i="52"/>
  <c r="N111" i="52"/>
  <c r="J125" i="52"/>
  <c r="J124" i="52"/>
  <c r="J123" i="52"/>
  <c r="J122" i="52"/>
  <c r="J119" i="52"/>
  <c r="J118" i="52"/>
  <c r="J117" i="52"/>
  <c r="J116" i="52"/>
  <c r="J115" i="52"/>
  <c r="J114" i="52"/>
  <c r="J113" i="52"/>
  <c r="J112" i="52"/>
  <c r="J111" i="52"/>
  <c r="J110" i="52"/>
  <c r="D305" i="15" l="1"/>
  <c r="F306" i="15"/>
  <c r="P112" i="52"/>
  <c r="P113" i="52"/>
  <c r="P118" i="52"/>
  <c r="P122" i="52"/>
  <c r="P119" i="52"/>
  <c r="P123" i="52"/>
  <c r="P125" i="52"/>
  <c r="P114" i="52"/>
  <c r="P126" i="52"/>
  <c r="P115" i="52"/>
  <c r="P124" i="52"/>
  <c r="O110" i="52"/>
  <c r="D304" i="15" l="1"/>
  <c r="F305" i="15"/>
  <c r="W216" i="18"/>
  <c r="J108" i="52"/>
  <c r="D303" i="15" l="1"/>
  <c r="F304" i="15"/>
  <c r="W215" i="18"/>
  <c r="W214" i="18"/>
  <c r="F303" i="15" l="1"/>
  <c r="D302" i="15"/>
  <c r="O106" i="52"/>
  <c r="J106" i="52"/>
  <c r="D301" i="15" l="1"/>
  <c r="F302" i="15"/>
  <c r="J104" i="52"/>
  <c r="G119" i="18"/>
  <c r="E276" i="15"/>
  <c r="E277" i="15"/>
  <c r="E278" i="15"/>
  <c r="E279" i="15"/>
  <c r="E280" i="15"/>
  <c r="D300" i="15" l="1"/>
  <c r="F301" i="15"/>
  <c r="AL249" i="18"/>
  <c r="W213" i="18"/>
  <c r="AM249" i="18" l="1"/>
  <c r="AL248" i="18"/>
  <c r="D299" i="15"/>
  <c r="F300" i="15"/>
  <c r="C7" i="60"/>
  <c r="J3" i="60"/>
  <c r="F8" i="60" s="1"/>
  <c r="D3" i="60"/>
  <c r="D4" i="60"/>
  <c r="D5" i="60"/>
  <c r="D6" i="60"/>
  <c r="D2" i="60"/>
  <c r="AL247" i="18" l="1"/>
  <c r="AM248" i="18"/>
  <c r="D8" i="60"/>
  <c r="F299" i="15"/>
  <c r="D298" i="15"/>
  <c r="D7" i="60"/>
  <c r="D16" i="60"/>
  <c r="F13" i="60"/>
  <c r="D13" i="60"/>
  <c r="F18" i="60"/>
  <c r="F10" i="60"/>
  <c r="D12" i="60"/>
  <c r="F17" i="60"/>
  <c r="F9" i="60"/>
  <c r="D17" i="60"/>
  <c r="D9" i="60"/>
  <c r="F14" i="60"/>
  <c r="D18" i="60"/>
  <c r="D14" i="60"/>
  <c r="D10" i="60"/>
  <c r="F19" i="60"/>
  <c r="F15" i="60"/>
  <c r="F11" i="60"/>
  <c r="D19" i="60"/>
  <c r="D15" i="60"/>
  <c r="D11" i="60"/>
  <c r="F7" i="60"/>
  <c r="F16" i="60"/>
  <c r="F12" i="60"/>
  <c r="W212" i="18"/>
  <c r="AM247" i="18" l="1"/>
  <c r="AL246" i="18"/>
  <c r="D297" i="15"/>
  <c r="F298" i="15"/>
  <c r="D21" i="60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AL245" i="18" l="1"/>
  <c r="AM246" i="18"/>
  <c r="D296" i="15"/>
  <c r="F297" i="15"/>
  <c r="AM245" i="18" l="1"/>
  <c r="AL244" i="18"/>
  <c r="D295" i="15"/>
  <c r="F296" i="15"/>
  <c r="D68" i="52"/>
  <c r="AL243" i="18" l="1"/>
  <c r="AM244" i="18"/>
  <c r="F295" i="15"/>
  <c r="D294" i="15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J100" i="52"/>
  <c r="J101" i="52"/>
  <c r="J102" i="52"/>
  <c r="J103" i="52"/>
  <c r="J105" i="52"/>
  <c r="J107" i="52"/>
  <c r="J109" i="52"/>
  <c r="J126" i="52"/>
  <c r="J97" i="52"/>
  <c r="J98" i="52"/>
  <c r="J99" i="52"/>
  <c r="AM243" i="18" l="1"/>
  <c r="AL242" i="18"/>
  <c r="D293" i="15"/>
  <c r="F294" i="15"/>
  <c r="P111" i="52"/>
  <c r="P110" i="52"/>
  <c r="P106" i="52"/>
  <c r="P104" i="52"/>
  <c r="P107" i="52"/>
  <c r="P105" i="52"/>
  <c r="P99" i="52"/>
  <c r="P109" i="52"/>
  <c r="P103" i="52"/>
  <c r="P102" i="52"/>
  <c r="P101" i="52"/>
  <c r="P100" i="52"/>
  <c r="AL241" i="18" l="1"/>
  <c r="AM242" i="18"/>
  <c r="D292" i="15"/>
  <c r="F293" i="15"/>
  <c r="R253" i="18"/>
  <c r="J90" i="52"/>
  <c r="J95" i="52"/>
  <c r="W211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AM241" i="18" l="1"/>
  <c r="AL240" i="18"/>
  <c r="D291" i="15"/>
  <c r="F292" i="15"/>
  <c r="F51" i="14"/>
  <c r="F52" i="14"/>
  <c r="F53" i="14"/>
  <c r="F54" i="14"/>
  <c r="F55" i="14"/>
  <c r="F56" i="14"/>
  <c r="F57" i="14"/>
  <c r="F58" i="14"/>
  <c r="F59" i="14"/>
  <c r="F60" i="14"/>
  <c r="F61" i="14"/>
  <c r="AL239" i="18" l="1"/>
  <c r="AM240" i="18"/>
  <c r="F291" i="15"/>
  <c r="D290" i="15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34" i="18"/>
  <c r="O133" i="18"/>
  <c r="O132" i="18"/>
  <c r="AM239" i="18" l="1"/>
  <c r="AL238" i="18"/>
  <c r="D289" i="15"/>
  <c r="F290" i="15"/>
  <c r="P97" i="52"/>
  <c r="P98" i="52"/>
  <c r="P95" i="52"/>
  <c r="P96" i="52"/>
  <c r="P94" i="52"/>
  <c r="P93" i="52"/>
  <c r="O136" i="18"/>
  <c r="N91" i="52"/>
  <c r="P92" i="52" s="1"/>
  <c r="AL237" i="18" l="1"/>
  <c r="AM238" i="18"/>
  <c r="F289" i="15"/>
  <c r="D288" i="15"/>
  <c r="R212" i="18"/>
  <c r="T237" i="18" s="1"/>
  <c r="W210" i="18"/>
  <c r="W209" i="18"/>
  <c r="W208" i="18"/>
  <c r="M48" i="52"/>
  <c r="M47" i="52"/>
  <c r="N38" i="52"/>
  <c r="N37" i="52"/>
  <c r="M49" i="52"/>
  <c r="N50" i="52" s="1"/>
  <c r="AM237" i="18" l="1"/>
  <c r="AL236" i="18"/>
  <c r="D287" i="15"/>
  <c r="F288" i="15"/>
  <c r="N49" i="52"/>
  <c r="D63" i="58"/>
  <c r="AL148" i="18"/>
  <c r="AM148" i="18" s="1"/>
  <c r="AL149" i="18"/>
  <c r="AM149" i="18" s="1"/>
  <c r="W207" i="18"/>
  <c r="AM236" i="18" l="1"/>
  <c r="AL235" i="18"/>
  <c r="F287" i="15"/>
  <c r="D286" i="15"/>
  <c r="J120" i="18"/>
  <c r="J119" i="18"/>
  <c r="G118" i="18"/>
  <c r="J118" i="18" s="1"/>
  <c r="J117" i="18"/>
  <c r="AL234" i="18" l="1"/>
  <c r="AM235" i="18"/>
  <c r="D285" i="15"/>
  <c r="F286" i="15"/>
  <c r="J121" i="18"/>
  <c r="W206" i="18"/>
  <c r="AM234" i="18" l="1"/>
  <c r="AL233" i="18"/>
  <c r="D284" i="15"/>
  <c r="F285" i="15"/>
  <c r="O90" i="52"/>
  <c r="O91" i="52"/>
  <c r="J91" i="52"/>
  <c r="AL232" i="18" l="1"/>
  <c r="AM233" i="18"/>
  <c r="D283" i="15"/>
  <c r="F284" i="15"/>
  <c r="N87" i="52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W205" i="18"/>
  <c r="AM232" i="18" l="1"/>
  <c r="AL231" i="18"/>
  <c r="F283" i="15"/>
  <c r="D282" i="15"/>
  <c r="G32" i="57"/>
  <c r="H32" i="57"/>
  <c r="D32" i="57"/>
  <c r="I32" i="57" s="1"/>
  <c r="D345" i="20"/>
  <c r="W204" i="18"/>
  <c r="W203" i="18"/>
  <c r="AL230" i="18" l="1"/>
  <c r="AM231" i="18"/>
  <c r="D281" i="15"/>
  <c r="F282" i="15"/>
  <c r="W139" i="18"/>
  <c r="W138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M230" i="18" l="1"/>
  <c r="AL229" i="18"/>
  <c r="F281" i="15"/>
  <c r="D280" i="15"/>
  <c r="C46" i="56"/>
  <c r="B46" i="56"/>
  <c r="AL228" i="18" l="1"/>
  <c r="AM228" i="18" s="1"/>
  <c r="AM229" i="18"/>
  <c r="D279" i="15"/>
  <c r="F280" i="15"/>
  <c r="O84" i="52"/>
  <c r="W202" i="18"/>
  <c r="D343" i="20"/>
  <c r="F279" i="15" l="1"/>
  <c r="D278" i="15"/>
  <c r="W201" i="18"/>
  <c r="D342" i="20"/>
  <c r="J83" i="52"/>
  <c r="O83" i="52"/>
  <c r="W200" i="18"/>
  <c r="W199" i="18"/>
  <c r="F44" i="14"/>
  <c r="F45" i="14"/>
  <c r="F46" i="14"/>
  <c r="F47" i="14"/>
  <c r="F48" i="14"/>
  <c r="F49" i="14"/>
  <c r="F50" i="14"/>
  <c r="D341" i="20"/>
  <c r="F278" i="15" l="1"/>
  <c r="D277" i="15"/>
  <c r="AJ250" i="18"/>
  <c r="D276" i="15" l="1"/>
  <c r="F276" i="15" s="1"/>
  <c r="F277" i="15"/>
  <c r="AL147" i="18"/>
  <c r="AM147" i="18" s="1"/>
  <c r="W198" i="18"/>
  <c r="AL145" i="18" l="1"/>
  <c r="AM145" i="18" s="1"/>
  <c r="D340" i="20" l="1"/>
  <c r="W197" i="18"/>
  <c r="H337" i="20"/>
  <c r="H338" i="20"/>
  <c r="H339" i="20"/>
  <c r="H340" i="20"/>
  <c r="H341" i="20"/>
  <c r="H368" i="20"/>
  <c r="H369" i="20"/>
  <c r="D339" i="20"/>
  <c r="O66" i="18" l="1"/>
  <c r="O65" i="18"/>
  <c r="O64" i="18"/>
  <c r="B371" i="20"/>
  <c r="D332" i="20"/>
  <c r="D333" i="20"/>
  <c r="D334" i="20"/>
  <c r="D335" i="20"/>
  <c r="D336" i="20"/>
  <c r="D337" i="20"/>
  <c r="D338" i="20"/>
  <c r="D369" i="20"/>
  <c r="W196" i="18" l="1"/>
  <c r="D80" i="57"/>
  <c r="AD46" i="52" l="1"/>
  <c r="AE46" i="52"/>
  <c r="G46" i="10"/>
  <c r="D331" i="20" l="1"/>
  <c r="D330" i="20" l="1"/>
  <c r="W195" i="18" l="1"/>
  <c r="W194" i="18"/>
  <c r="D329" i="20" l="1"/>
  <c r="M41" i="52" l="1"/>
  <c r="L47" i="52" s="1"/>
  <c r="AD45" i="52"/>
  <c r="AC68" i="52" s="1"/>
  <c r="AE45" i="52"/>
  <c r="AD44" i="52"/>
  <c r="AE44" i="52"/>
  <c r="Z41" i="52" l="1"/>
  <c r="AD41" i="52"/>
  <c r="AE41" i="52"/>
  <c r="D328" i="20" l="1"/>
  <c r="D327" i="20"/>
  <c r="AD43" i="52" l="1"/>
  <c r="AC65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193" i="18" l="1"/>
  <c r="W192" i="18"/>
  <c r="Z40" i="52" l="1"/>
  <c r="Z39" i="52"/>
  <c r="Z38" i="52"/>
  <c r="AD38" i="52"/>
  <c r="AD39" i="52"/>
  <c r="AD40" i="52"/>
  <c r="AE40" i="52"/>
  <c r="AE39" i="52"/>
  <c r="AE38" i="52"/>
  <c r="R154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191" i="18"/>
  <c r="W190" i="18"/>
  <c r="L34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189" i="18" l="1"/>
  <c r="W188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187" i="18" l="1"/>
  <c r="W186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W185" i="18" l="1"/>
  <c r="W184" i="18"/>
  <c r="N30" i="52"/>
  <c r="N29" i="52"/>
  <c r="AD27" i="52"/>
  <c r="Z27" i="52"/>
  <c r="AE27" i="52"/>
  <c r="W183" i="18" l="1"/>
  <c r="W182" i="18"/>
  <c r="N28" i="52"/>
  <c r="N27" i="52"/>
  <c r="AD26" i="52" l="1"/>
  <c r="AE26" i="52"/>
  <c r="N36" i="18"/>
  <c r="AL227" i="18" l="1"/>
  <c r="D313" i="20"/>
  <c r="AL226" i="18" l="1"/>
  <c r="AM227" i="18"/>
  <c r="L108" i="18"/>
  <c r="L105" i="18" s="1"/>
  <c r="AM226" i="18" l="1"/>
  <c r="AL225" i="18"/>
  <c r="M108" i="18"/>
  <c r="L101" i="18"/>
  <c r="W181" i="18"/>
  <c r="W180" i="18"/>
  <c r="N24" i="52"/>
  <c r="N26" i="52"/>
  <c r="N25" i="52"/>
  <c r="AL224" i="18" l="1"/>
  <c r="AM225" i="18"/>
  <c r="N57" i="18"/>
  <c r="L103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179" i="18"/>
  <c r="W178" i="18"/>
  <c r="N23" i="52"/>
  <c r="N22" i="52"/>
  <c r="Z24" i="52"/>
  <c r="AD24" i="52"/>
  <c r="AE24" i="52"/>
  <c r="I368" i="20" l="1"/>
  <c r="G367" i="20"/>
  <c r="J368" i="20"/>
  <c r="K368" i="20"/>
  <c r="AL222" i="18"/>
  <c r="AM223" i="18"/>
  <c r="W177" i="18"/>
  <c r="W176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AM164" i="18"/>
  <c r="AD23" i="52"/>
  <c r="Z23" i="52"/>
  <c r="AE23" i="52"/>
  <c r="Z22" i="52"/>
  <c r="AD22" i="52"/>
  <c r="AE22" i="52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175" i="18"/>
  <c r="W174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04" i="18"/>
  <c r="F104" i="18" s="1"/>
  <c r="G102" i="18"/>
  <c r="F102" i="18" s="1"/>
  <c r="G101" i="18"/>
  <c r="F101" i="18" s="1"/>
  <c r="P22" i="18"/>
  <c r="N22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173" i="18"/>
  <c r="W172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2" i="18"/>
  <c r="L104" i="18"/>
  <c r="J355" i="20" l="1"/>
  <c r="I355" i="20"/>
  <c r="G354" i="20"/>
  <c r="K355" i="20"/>
  <c r="W171" i="18"/>
  <c r="W170" i="18"/>
  <c r="D303" i="20"/>
  <c r="D302" i="20"/>
  <c r="W169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29" i="18"/>
  <c r="P27" i="18"/>
  <c r="P24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167" i="18"/>
  <c r="I350" i="20" l="1"/>
  <c r="J350" i="20"/>
  <c r="K350" i="20"/>
  <c r="G349" i="20"/>
  <c r="AD14" i="52"/>
  <c r="AE14" i="52"/>
  <c r="AD13" i="52"/>
  <c r="AE13" i="52"/>
  <c r="Z14" i="52"/>
  <c r="D296" i="20"/>
  <c r="D295" i="20"/>
  <c r="K349" i="20" l="1"/>
  <c r="I349" i="20"/>
  <c r="J349" i="20"/>
  <c r="G348" i="20"/>
  <c r="W166" i="18"/>
  <c r="W165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164" i="18"/>
  <c r="W163" i="18"/>
  <c r="G346" i="20" l="1"/>
  <c r="J347" i="20"/>
  <c r="I347" i="20"/>
  <c r="K347" i="20"/>
  <c r="D293" i="20"/>
  <c r="K346" i="20" l="1"/>
  <c r="G345" i="20"/>
  <c r="J346" i="20"/>
  <c r="I346" i="20"/>
  <c r="W162" i="18"/>
  <c r="K345" i="20" l="1"/>
  <c r="G344" i="20"/>
  <c r="J345" i="20"/>
  <c r="I345" i="20"/>
  <c r="D292" i="20"/>
  <c r="C8" i="36"/>
  <c r="W161" i="18"/>
  <c r="N5" i="52"/>
  <c r="I344" i="20" l="1"/>
  <c r="K344" i="20"/>
  <c r="G343" i="20"/>
  <c r="J344" i="20"/>
  <c r="N43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7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160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73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31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36" i="18"/>
  <c r="W159" i="18"/>
  <c r="D278" i="20"/>
  <c r="J327" i="20" l="1"/>
  <c r="K327" i="20"/>
  <c r="G326" i="20"/>
  <c r="I327" i="20"/>
  <c r="W137" i="18"/>
  <c r="B315" i="15"/>
  <c r="J283" i="15" s="1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31" i="18"/>
  <c r="I325" i="20" l="1"/>
  <c r="K325" i="20"/>
  <c r="J325" i="20"/>
  <c r="G324" i="20"/>
  <c r="S130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2" i="18"/>
  <c r="M105" i="18" l="1"/>
  <c r="G320" i="20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78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15" i="18"/>
  <c r="N116" i="18"/>
  <c r="N117" i="18"/>
  <c r="N118" i="18"/>
  <c r="N119" i="18"/>
  <c r="N120" i="18"/>
  <c r="N121" i="18"/>
  <c r="N122" i="18"/>
  <c r="N114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58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57" i="18"/>
  <c r="AM124" i="18" l="1"/>
  <c r="AL123" i="18"/>
  <c r="AM123" i="18" l="1"/>
  <c r="AL122" i="18"/>
  <c r="AL121" i="18" l="1"/>
  <c r="AM122" i="18"/>
  <c r="W151" i="18"/>
  <c r="W152" i="18"/>
  <c r="W153" i="18"/>
  <c r="W154" i="18"/>
  <c r="W155" i="18"/>
  <c r="W156" i="18"/>
  <c r="W168" i="18"/>
  <c r="W150" i="18"/>
  <c r="AM121" i="18" l="1"/>
  <c r="AL120" i="18"/>
  <c r="N48" i="18"/>
  <c r="AM120" i="18" l="1"/>
  <c r="AL119" i="18"/>
  <c r="AM119" i="18" l="1"/>
  <c r="AL118" i="18"/>
  <c r="T134" i="18"/>
  <c r="S55" i="18"/>
  <c r="S56" i="18" s="1"/>
  <c r="S57" i="18" s="1"/>
  <c r="R155" i="18"/>
  <c r="R153" i="18"/>
  <c r="D57" i="51"/>
  <c r="AL117" i="18" l="1"/>
  <c r="AM118" i="18"/>
  <c r="S58" i="18"/>
  <c r="S59" i="18" s="1"/>
  <c r="AM117" i="18" l="1"/>
  <c r="AL116" i="18"/>
  <c r="S60" i="18"/>
  <c r="S61" i="18" s="1"/>
  <c r="S62" i="18" s="1"/>
  <c r="N29" i="18"/>
  <c r="Q69" i="18" s="1"/>
  <c r="R152" i="18" l="1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S63" i="18" l="1"/>
  <c r="S64" i="18" s="1"/>
  <c r="AL113" i="18"/>
  <c r="AM114" i="18"/>
  <c r="S20" i="18"/>
  <c r="S21" i="18" s="1"/>
  <c r="S65" i="18" l="1"/>
  <c r="S66" i="18" s="1"/>
  <c r="S67" i="18" s="1"/>
  <c r="AL112" i="18"/>
  <c r="AM113" i="18"/>
  <c r="N46" i="18"/>
  <c r="M104" i="18" s="1"/>
  <c r="N104" i="18" l="1"/>
  <c r="AM112" i="18"/>
  <c r="AL111" i="18"/>
  <c r="D108" i="50"/>
  <c r="AL110" i="18" l="1"/>
  <c r="AM111" i="18"/>
  <c r="N44" i="18"/>
  <c r="AL109" i="18" l="1"/>
  <c r="AM110" i="18"/>
  <c r="N103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5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73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AM101" i="18"/>
  <c r="AL100" i="18"/>
  <c r="AM202" i="18"/>
  <c r="AL201" i="18"/>
  <c r="D73" i="48"/>
  <c r="N24" i="18"/>
  <c r="M102" i="18" l="1"/>
  <c r="N102" i="18" s="1"/>
  <c r="AL99" i="18"/>
  <c r="AM100" i="18"/>
  <c r="AL200" i="18"/>
  <c r="AM201" i="18"/>
  <c r="S36" i="18" l="1"/>
  <c r="S37" i="18" s="1"/>
  <c r="S38" i="18" s="1"/>
  <c r="S39" i="18" s="1"/>
  <c r="S40" i="18" s="1"/>
  <c r="AM99" i="18"/>
  <c r="AL98" i="18"/>
  <c r="AL199" i="18"/>
  <c r="AM200" i="18"/>
  <c r="P53" i="18"/>
  <c r="AL97" i="18" l="1"/>
  <c r="AM98" i="18"/>
  <c r="AL198" i="18"/>
  <c r="AM199" i="18"/>
  <c r="S41" i="18" l="1"/>
  <c r="AM97" i="18"/>
  <c r="AL96" i="18"/>
  <c r="AL197" i="18"/>
  <c r="AM198" i="18"/>
  <c r="N23" i="33"/>
  <c r="D23" i="33" s="1"/>
  <c r="S42" i="18" l="1"/>
  <c r="S43" i="18" s="1"/>
  <c r="S44" i="18" s="1"/>
  <c r="AM96" i="18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S45" i="18" l="1"/>
  <c r="S46" i="18" s="1"/>
  <c r="S47" i="18" s="1"/>
  <c r="S48" i="18" s="1"/>
  <c r="F26" i="49"/>
  <c r="G26" i="49"/>
  <c r="AL94" i="18"/>
  <c r="AM95" i="18"/>
  <c r="AL195" i="18"/>
  <c r="AM196" i="18"/>
  <c r="N21" i="18"/>
  <c r="Q50" i="18" s="1"/>
  <c r="R151" i="18" l="1"/>
  <c r="AJ254" i="18"/>
  <c r="AJ255" i="18" s="1"/>
  <c r="AM94" i="18"/>
  <c r="AL93" i="18"/>
  <c r="AL194" i="18"/>
  <c r="AM195" i="18"/>
  <c r="AL92" i="18" l="1"/>
  <c r="AM93" i="18"/>
  <c r="AL193" i="18"/>
  <c r="AM194" i="18"/>
  <c r="S79" i="18"/>
  <c r="S80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81" i="18"/>
  <c r="S82" i="18" s="1"/>
  <c r="AL85" i="18" l="1"/>
  <c r="AM86" i="18"/>
  <c r="S83" i="18"/>
  <c r="S84" i="18" s="1"/>
  <c r="S85" i="18" s="1"/>
  <c r="S86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87" i="18"/>
  <c r="S88" i="18" s="1"/>
  <c r="S89" i="18" s="1"/>
  <c r="S9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50" i="18" l="1"/>
  <c r="AN250" i="18" s="1"/>
  <c r="AJ253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56" i="18" l="1"/>
  <c r="AJ25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1" i="18" l="1"/>
  <c r="AL77" i="18"/>
  <c r="AM78" i="18"/>
  <c r="N53" i="18"/>
  <c r="G307" i="20" l="1"/>
  <c r="K308" i="20"/>
  <c r="J308" i="20"/>
  <c r="I308" i="20"/>
  <c r="S92" i="18"/>
  <c r="AL76" i="18"/>
  <c r="AM77" i="18"/>
  <c r="S93" i="18" l="1"/>
  <c r="S94" i="18" s="1"/>
  <c r="S95" i="18" s="1"/>
  <c r="S96" i="18" s="1"/>
  <c r="S97" i="18" s="1"/>
  <c r="G306" i="20"/>
  <c r="J307" i="20"/>
  <c r="I307" i="20"/>
  <c r="K307" i="20"/>
  <c r="AL75" i="18"/>
  <c r="AM76" i="18"/>
  <c r="N47" i="18"/>
  <c r="Q126" i="18" s="1"/>
  <c r="R150" i="18" l="1"/>
  <c r="R160" i="18" s="1"/>
  <c r="T224" i="18" s="1"/>
  <c r="M101" i="18"/>
  <c r="N101" i="18" s="1"/>
  <c r="N108" i="18" s="1"/>
  <c r="AJ171" i="18"/>
  <c r="AJ172" i="18" s="1"/>
  <c r="S98" i="18"/>
  <c r="S99" i="18" s="1"/>
  <c r="S100" i="18" s="1"/>
  <c r="G305" i="20"/>
  <c r="I306" i="20"/>
  <c r="K306" i="20"/>
  <c r="J306" i="20"/>
  <c r="AL74" i="18"/>
  <c r="AM75" i="18"/>
  <c r="S101" i="18" l="1"/>
  <c r="S102" i="18" s="1"/>
  <c r="S103" i="18" s="1"/>
  <c r="S104" i="18" s="1"/>
  <c r="V227" i="18"/>
  <c r="S139" i="18"/>
  <c r="U237" i="18"/>
  <c r="G304" i="20"/>
  <c r="I305" i="20"/>
  <c r="K305" i="20"/>
  <c r="J305" i="20"/>
  <c r="AL73" i="18"/>
  <c r="AM74" i="18"/>
  <c r="N79" i="18"/>
  <c r="V67" i="18" l="1"/>
  <c r="W67" i="18"/>
  <c r="X67" i="18"/>
  <c r="V48" i="18"/>
  <c r="V47" i="18"/>
  <c r="V66" i="18"/>
  <c r="W66" i="18" s="1"/>
  <c r="V46" i="18"/>
  <c r="V45" i="18"/>
  <c r="V44" i="18"/>
  <c r="V43" i="18"/>
  <c r="V42" i="18"/>
  <c r="V65" i="18"/>
  <c r="S105" i="18"/>
  <c r="S106" i="18" s="1"/>
  <c r="S107" i="18" s="1"/>
  <c r="V41" i="18"/>
  <c r="V40" i="18"/>
  <c r="W40" i="18" s="1"/>
  <c r="V64" i="18"/>
  <c r="V39" i="18"/>
  <c r="W39" i="18" s="1"/>
  <c r="V63" i="18"/>
  <c r="V62" i="18"/>
  <c r="U139" i="18"/>
  <c r="V139" i="18" s="1"/>
  <c r="V38" i="18"/>
  <c r="V37" i="18"/>
  <c r="V36" i="18"/>
  <c r="V35" i="18"/>
  <c r="V33" i="18"/>
  <c r="W33" i="18" s="1"/>
  <c r="V34" i="18"/>
  <c r="V49" i="18"/>
  <c r="V32" i="18"/>
  <c r="X32" i="18" s="1"/>
  <c r="G303" i="20"/>
  <c r="K304" i="20"/>
  <c r="I304" i="20"/>
  <c r="J304" i="20"/>
  <c r="V237" i="18"/>
  <c r="V31" i="18"/>
  <c r="W31" i="18" s="1"/>
  <c r="V103" i="18"/>
  <c r="W103" i="18" s="1"/>
  <c r="V104" i="18"/>
  <c r="V102" i="18"/>
  <c r="V30" i="18"/>
  <c r="W30" i="18" s="1"/>
  <c r="V61" i="18"/>
  <c r="V101" i="18"/>
  <c r="V99" i="18"/>
  <c r="V98" i="18"/>
  <c r="V97" i="18"/>
  <c r="V100" i="18"/>
  <c r="V125" i="18"/>
  <c r="V95" i="18"/>
  <c r="W95" i="18" s="1"/>
  <c r="V96" i="18"/>
  <c r="V29" i="18"/>
  <c r="W29" i="18" s="1"/>
  <c r="V60" i="18"/>
  <c r="V93" i="18"/>
  <c r="W93" i="18" s="1"/>
  <c r="V94" i="18"/>
  <c r="V91" i="18"/>
  <c r="W91" i="18" s="1"/>
  <c r="V92" i="18"/>
  <c r="V90" i="18"/>
  <c r="W90" i="18" s="1"/>
  <c r="V89" i="18"/>
  <c r="V28" i="18"/>
  <c r="V27" i="18"/>
  <c r="W27" i="18" s="1"/>
  <c r="V59" i="18"/>
  <c r="V26" i="18"/>
  <c r="X26" i="18" s="1"/>
  <c r="V58" i="18"/>
  <c r="V68" i="18"/>
  <c r="V57" i="18"/>
  <c r="V88" i="18"/>
  <c r="V56" i="18"/>
  <c r="V87" i="18"/>
  <c r="V25" i="18"/>
  <c r="V86" i="18"/>
  <c r="V24" i="18"/>
  <c r="V22" i="18"/>
  <c r="V23" i="18"/>
  <c r="W23" i="18" s="1"/>
  <c r="V85" i="18"/>
  <c r="V84" i="18"/>
  <c r="V83" i="18"/>
  <c r="V21" i="18"/>
  <c r="V82" i="18"/>
  <c r="V80" i="18"/>
  <c r="V81" i="18"/>
  <c r="V77" i="18"/>
  <c r="V20" i="18"/>
  <c r="V78" i="18"/>
  <c r="V79" i="18"/>
  <c r="AL72" i="18"/>
  <c r="AM73" i="18"/>
  <c r="W47" i="18" l="1"/>
  <c r="X47" i="18"/>
  <c r="W48" i="18"/>
  <c r="X48" i="18"/>
  <c r="X66" i="18"/>
  <c r="W46" i="18"/>
  <c r="X46" i="18"/>
  <c r="W45" i="18"/>
  <c r="X45" i="18"/>
  <c r="X42" i="18"/>
  <c r="W42" i="18"/>
  <c r="W43" i="18"/>
  <c r="X43" i="18"/>
  <c r="X44" i="18"/>
  <c r="W44" i="18"/>
  <c r="X65" i="18"/>
  <c r="W65" i="18"/>
  <c r="V105" i="18"/>
  <c r="W105" i="18" s="1"/>
  <c r="V106" i="18"/>
  <c r="X106" i="18" s="1"/>
  <c r="W41" i="18"/>
  <c r="X41" i="18"/>
  <c r="X40" i="18"/>
  <c r="W64" i="18"/>
  <c r="X64" i="18"/>
  <c r="X39" i="18"/>
  <c r="W62" i="18"/>
  <c r="X62" i="18"/>
  <c r="W63" i="18"/>
  <c r="X63" i="18"/>
  <c r="X38" i="18"/>
  <c r="W38" i="18"/>
  <c r="X36" i="18"/>
  <c r="W36" i="18"/>
  <c r="W37" i="18"/>
  <c r="X37" i="18"/>
  <c r="W35" i="18"/>
  <c r="X35" i="18"/>
  <c r="X33" i="18"/>
  <c r="W49" i="18"/>
  <c r="X49" i="18"/>
  <c r="W34" i="18"/>
  <c r="X34" i="18"/>
  <c r="W32" i="18"/>
  <c r="S138" i="18"/>
  <c r="G302" i="20"/>
  <c r="K303" i="20"/>
  <c r="I303" i="20"/>
  <c r="J303" i="20"/>
  <c r="X31" i="18"/>
  <c r="X103" i="18"/>
  <c r="W104" i="18"/>
  <c r="X104" i="18"/>
  <c r="X30" i="18"/>
  <c r="W102" i="18"/>
  <c r="X102" i="18"/>
  <c r="W61" i="18"/>
  <c r="X61" i="18"/>
  <c r="W101" i="18"/>
  <c r="X101" i="18"/>
  <c r="X98" i="18"/>
  <c r="W98" i="18"/>
  <c r="W99" i="18"/>
  <c r="X99" i="18"/>
  <c r="W97" i="18"/>
  <c r="X97" i="18"/>
  <c r="W125" i="18"/>
  <c r="X125" i="18"/>
  <c r="X100" i="18"/>
  <c r="W100" i="18"/>
  <c r="X95" i="18"/>
  <c r="W96" i="18"/>
  <c r="X96" i="18"/>
  <c r="X29" i="18"/>
  <c r="W60" i="18"/>
  <c r="X60" i="18"/>
  <c r="X93" i="18"/>
  <c r="W94" i="18"/>
  <c r="X94" i="18"/>
  <c r="X91" i="18"/>
  <c r="W92" i="18"/>
  <c r="X92" i="18"/>
  <c r="X90" i="18"/>
  <c r="W89" i="18"/>
  <c r="X89" i="18"/>
  <c r="W28" i="18"/>
  <c r="X28" i="18"/>
  <c r="X27" i="18"/>
  <c r="W59" i="18"/>
  <c r="X59" i="18"/>
  <c r="W26" i="18"/>
  <c r="W58" i="18"/>
  <c r="X58" i="18"/>
  <c r="W57" i="18"/>
  <c r="X57" i="18"/>
  <c r="W68" i="18"/>
  <c r="X68" i="18"/>
  <c r="S137" i="18"/>
  <c r="S136" i="18"/>
  <c r="U136" i="18" s="1"/>
  <c r="W88" i="18"/>
  <c r="X88" i="18"/>
  <c r="X56" i="18"/>
  <c r="W56" i="18"/>
  <c r="W83" i="18"/>
  <c r="X83" i="18"/>
  <c r="W86" i="18"/>
  <c r="X86" i="18"/>
  <c r="W79" i="18"/>
  <c r="X79" i="18"/>
  <c r="W84" i="18"/>
  <c r="X84" i="18"/>
  <c r="X23" i="18"/>
  <c r="W25" i="18"/>
  <c r="X25" i="18"/>
  <c r="W20" i="18"/>
  <c r="X20" i="18"/>
  <c r="W81" i="18"/>
  <c r="X81" i="18"/>
  <c r="W22" i="18"/>
  <c r="X22" i="18"/>
  <c r="X87" i="18"/>
  <c r="W87" i="18"/>
  <c r="W78" i="18"/>
  <c r="X78" i="18"/>
  <c r="W77" i="18"/>
  <c r="X77" i="18"/>
  <c r="W82" i="18"/>
  <c r="X82" i="18"/>
  <c r="W80" i="18"/>
  <c r="X80" i="18"/>
  <c r="X21" i="18"/>
  <c r="W21" i="18"/>
  <c r="W85" i="18"/>
  <c r="X85" i="18"/>
  <c r="W24" i="18"/>
  <c r="X24" i="18"/>
  <c r="AL71" i="18"/>
  <c r="AM72" i="18"/>
  <c r="X105" i="18" l="1"/>
  <c r="W106" i="18"/>
  <c r="U138" i="18"/>
  <c r="V138" i="18" s="1"/>
  <c r="N32" i="18"/>
  <c r="L21" i="18" s="1"/>
  <c r="U137" i="18"/>
  <c r="V137" i="18" s="1"/>
  <c r="N56" i="18"/>
  <c r="G301" i="20"/>
  <c r="I302" i="20"/>
  <c r="K302" i="20"/>
  <c r="J302" i="20"/>
  <c r="AL70" i="18"/>
  <c r="AM71" i="18"/>
  <c r="G300" i="20" l="1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99" i="20" l="1"/>
  <c r="I300" i="20"/>
  <c r="K300" i="20"/>
  <c r="J300" i="20"/>
  <c r="AL68" i="18"/>
  <c r="AM69" i="18"/>
  <c r="N2" i="33"/>
  <c r="V107" i="18" l="1"/>
  <c r="S10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V108" i="18" l="1"/>
  <c r="S109" i="18"/>
  <c r="S110" i="18" s="1"/>
  <c r="S111" i="18" s="1"/>
  <c r="W107" i="18"/>
  <c r="X107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V109" i="18" l="1"/>
  <c r="X108" i="18"/>
  <c r="W108" i="18"/>
  <c r="G61" i="14"/>
  <c r="E60" i="14"/>
  <c r="I297" i="20"/>
  <c r="K297" i="20"/>
  <c r="J297" i="20"/>
  <c r="G296" i="20"/>
  <c r="AL65" i="18"/>
  <c r="AM66" i="18"/>
  <c r="W109" i="18" l="1"/>
  <c r="X109" i="18"/>
  <c r="E59" i="14"/>
  <c r="G60" i="14"/>
  <c r="G295" i="20"/>
  <c r="K296" i="20"/>
  <c r="I296" i="20"/>
  <c r="J296" i="20"/>
  <c r="AL64" i="18"/>
  <c r="AM65" i="18"/>
  <c r="E58" i="14" l="1"/>
  <c r="G59" i="14"/>
  <c r="G294" i="20"/>
  <c r="K295" i="20"/>
  <c r="J295" i="20"/>
  <c r="I295" i="20"/>
  <c r="AM64" i="18"/>
  <c r="AL63" i="18"/>
  <c r="G58" i="14" l="1"/>
  <c r="E57" i="14"/>
  <c r="G293" i="20"/>
  <c r="I294" i="20"/>
  <c r="J294" i="20"/>
  <c r="K294" i="20"/>
  <c r="AL62" i="18"/>
  <c r="AM63" i="18"/>
  <c r="G57" i="14" l="1"/>
  <c r="E56" i="14"/>
  <c r="G292" i="20"/>
  <c r="K293" i="20"/>
  <c r="J293" i="20"/>
  <c r="I293" i="20"/>
  <c r="AL61" i="18"/>
  <c r="AM62" i="18"/>
  <c r="V110" i="18" l="1"/>
  <c r="E55" i="14"/>
  <c r="G56" i="14"/>
  <c r="J292" i="20"/>
  <c r="I292" i="20"/>
  <c r="G291" i="20"/>
  <c r="K292" i="20"/>
  <c r="AM61" i="18"/>
  <c r="AL60" i="18"/>
  <c r="X110" i="18" l="1"/>
  <c r="W110" i="18"/>
  <c r="E54" i="14"/>
  <c r="G55" i="14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J290" i="20"/>
  <c r="G289" i="20"/>
  <c r="I290" i="20"/>
  <c r="K290" i="20"/>
  <c r="AM59" i="18"/>
  <c r="AL58" i="18"/>
  <c r="G53" i="14" l="1"/>
  <c r="E52" i="14"/>
  <c r="G288" i="20"/>
  <c r="K289" i="20"/>
  <c r="J289" i="20"/>
  <c r="I289" i="20"/>
  <c r="AL57" i="18"/>
  <c r="AM58" i="18"/>
  <c r="S112" i="18" l="1"/>
  <c r="S113" i="18" s="1"/>
  <c r="S114" i="18" s="1"/>
  <c r="S115" i="18" s="1"/>
  <c r="E51" i="14"/>
  <c r="G52" i="14"/>
  <c r="J288" i="20"/>
  <c r="K288" i="20"/>
  <c r="G287" i="20"/>
  <c r="I288" i="20"/>
  <c r="AL56" i="18"/>
  <c r="AM57" i="18"/>
  <c r="B105" i="13"/>
  <c r="B196" i="13" s="1"/>
  <c r="V111" i="18" l="1"/>
  <c r="W111" i="18" s="1"/>
  <c r="V112" i="18"/>
  <c r="W112" i="18" s="1"/>
  <c r="G51" i="14"/>
  <c r="E50" i="14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X111" i="18" l="1"/>
  <c r="X112" i="18"/>
  <c r="E49" i="14"/>
  <c r="G50" i="14"/>
  <c r="G285" i="20"/>
  <c r="J286" i="20"/>
  <c r="I286" i="20"/>
  <c r="K286" i="20"/>
  <c r="AM55" i="18"/>
  <c r="AL54" i="18"/>
  <c r="G49" i="14" l="1"/>
  <c r="E48" i="14"/>
  <c r="V113" i="18"/>
  <c r="G284" i="20"/>
  <c r="K285" i="20"/>
  <c r="J285" i="20"/>
  <c r="I285" i="20"/>
  <c r="AL53" i="18"/>
  <c r="AM54" i="18"/>
  <c r="G48" i="14" l="1"/>
  <c r="E47" i="14"/>
  <c r="W113" i="18"/>
  <c r="X113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V114" i="18"/>
  <c r="K280" i="20"/>
  <c r="G279" i="20"/>
  <c r="J280" i="20"/>
  <c r="I280" i="20"/>
  <c r="AL48" i="18"/>
  <c r="AM49" i="18"/>
  <c r="E248" i="15"/>
  <c r="G43" i="14" l="1"/>
  <c r="E42" i="14"/>
  <c r="W114" i="18"/>
  <c r="X114" i="18"/>
  <c r="J279" i="20"/>
  <c r="I279" i="20"/>
  <c r="G278" i="20"/>
  <c r="K279" i="20"/>
  <c r="AL47" i="18"/>
  <c r="AM48" i="18"/>
  <c r="E247" i="15"/>
  <c r="E246" i="15"/>
  <c r="G42" i="14" l="1"/>
  <c r="E41" i="14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G272" i="20"/>
  <c r="J273" i="20"/>
  <c r="K273" i="20"/>
  <c r="I273" i="20"/>
  <c r="AL41" i="18"/>
  <c r="AM42" i="18"/>
  <c r="G36" i="14" l="1"/>
  <c r="E35" i="14"/>
  <c r="J272" i="20"/>
  <c r="K272" i="20"/>
  <c r="I272" i="20"/>
  <c r="G271" i="20"/>
  <c r="AM41" i="18"/>
  <c r="AL40" i="18"/>
  <c r="G35" i="14" l="1"/>
  <c r="E34" i="14"/>
  <c r="G270" i="20"/>
  <c r="I271" i="20"/>
  <c r="J271" i="20"/>
  <c r="K271" i="20"/>
  <c r="AL39" i="18"/>
  <c r="AM40" i="18"/>
  <c r="E243" i="15"/>
  <c r="G34" i="14" l="1"/>
  <c r="E33" i="14"/>
  <c r="G269" i="20"/>
  <c r="J270" i="20"/>
  <c r="K270" i="20"/>
  <c r="I270" i="20"/>
  <c r="AM39" i="18"/>
  <c r="AL38" i="18"/>
  <c r="E242" i="15"/>
  <c r="E32" i="14" l="1"/>
  <c r="G33" i="14"/>
  <c r="S116" i="18"/>
  <c r="S117" i="18" s="1"/>
  <c r="I269" i="20"/>
  <c r="K269" i="20"/>
  <c r="J269" i="20"/>
  <c r="G268" i="20"/>
  <c r="AL37" i="18"/>
  <c r="AM38" i="18"/>
  <c r="J57" i="33"/>
  <c r="J55" i="33"/>
  <c r="J54" i="33"/>
  <c r="G32" i="14" l="1"/>
  <c r="E31" i="14"/>
  <c r="V115" i="18"/>
  <c r="J268" i="20"/>
  <c r="I268" i="20"/>
  <c r="G267" i="20"/>
  <c r="K268" i="20"/>
  <c r="AL36" i="18"/>
  <c r="AM37" i="18"/>
  <c r="L57" i="33"/>
  <c r="E241" i="15"/>
  <c r="G31" i="14" l="1"/>
  <c r="E30" i="14"/>
  <c r="W115" i="18"/>
  <c r="X115" i="18"/>
  <c r="I267" i="20"/>
  <c r="K267" i="20"/>
  <c r="G266" i="20"/>
  <c r="J267" i="20"/>
  <c r="AM36" i="18"/>
  <c r="AL35" i="18"/>
  <c r="D168" i="20"/>
  <c r="E29" i="14" l="1"/>
  <c r="G30" i="14"/>
  <c r="V116" i="18"/>
  <c r="W116" i="18" s="1"/>
  <c r="J266" i="20"/>
  <c r="G265" i="20"/>
  <c r="K266" i="20"/>
  <c r="I266" i="20"/>
  <c r="AL34" i="18"/>
  <c r="AM35" i="18"/>
  <c r="E240" i="15"/>
  <c r="E239" i="15"/>
  <c r="X116" i="18" l="1"/>
  <c r="G29" i="14"/>
  <c r="E28" i="14"/>
  <c r="K265" i="20"/>
  <c r="G264" i="20"/>
  <c r="J265" i="20"/>
  <c r="I265" i="20"/>
  <c r="D259" i="15"/>
  <c r="AL33" i="18"/>
  <c r="AM34" i="18"/>
  <c r="E27" i="14" l="1"/>
  <c r="G28" i="14"/>
  <c r="G263" i="20"/>
  <c r="K264" i="20"/>
  <c r="J264" i="20"/>
  <c r="I264" i="20"/>
  <c r="D258" i="15"/>
  <c r="F259" i="15"/>
  <c r="AL32" i="18"/>
  <c r="AM33" i="18"/>
  <c r="V117" i="18" l="1"/>
  <c r="W117" i="18" s="1"/>
  <c r="S118" i="18"/>
  <c r="S119" i="18" s="1"/>
  <c r="S120" i="18" s="1"/>
  <c r="S121" i="18" s="1"/>
  <c r="S122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V122" i="18" l="1"/>
  <c r="S123" i="18"/>
  <c r="W122" i="18"/>
  <c r="X122" i="18"/>
  <c r="X117" i="18"/>
  <c r="V118" i="18"/>
  <c r="X118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S124" i="18" l="1"/>
  <c r="V124" i="18" s="1"/>
  <c r="V123" i="18"/>
  <c r="W118" i="18"/>
  <c r="E24" i="14"/>
  <c r="G25" i="14"/>
  <c r="J261" i="20"/>
  <c r="I261" i="20"/>
  <c r="K261" i="20"/>
  <c r="G260" i="20"/>
  <c r="D255" i="15"/>
  <c r="F256" i="15"/>
  <c r="AL29" i="18"/>
  <c r="AM30" i="18"/>
  <c r="W123" i="18" l="1"/>
  <c r="X123" i="18"/>
  <c r="W124" i="18"/>
  <c r="X124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22" i="14" l="1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V119" i="18" l="1"/>
  <c r="W119" i="18" s="1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X119" i="18" l="1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V120" i="18" l="1"/>
  <c r="X120" i="18" s="1"/>
  <c r="G254" i="20"/>
  <c r="J255" i="20"/>
  <c r="I255" i="20"/>
  <c r="K255" i="20"/>
  <c r="D249" i="15"/>
  <c r="F250" i="15"/>
  <c r="AM24" i="18"/>
  <c r="AL23" i="18"/>
  <c r="E177" i="13"/>
  <c r="G178" i="13"/>
  <c r="W120" i="18" l="1"/>
  <c r="K254" i="20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N31" i="41" s="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N143" i="41" s="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N151" i="41" s="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N239" i="41" s="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N271" i="41" s="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N431" i="41" s="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N528" i="41" s="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N579" i="41" s="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N618" i="41" s="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N631" i="41" s="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N656" i="41" s="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N746" i="41" s="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N928" i="41" s="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N1104" i="41" s="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N1151" i="41" s="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N1191" i="41" s="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N1251" i="41" s="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N1271" i="41" s="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N1311" i="41" s="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N1378" i="41" s="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N1408" i="41" s="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N1458" i="41" s="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N1496" i="41" s="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N1519" i="41" s="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N1616" i="41" s="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N1856" i="41" s="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N1903" i="41" s="1"/>
  <c r="M1904" i="41"/>
  <c r="N1904" i="41" s="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N1951" i="41" s="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N1959" i="41" s="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N2023" i="41" s="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N2071" i="41" s="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N2103" i="41" s="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N2146" i="41" s="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N2168" i="41" s="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N2243" i="41" s="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N2266" i="41" s="1"/>
  <c r="M2268" i="41"/>
  <c r="N2268" i="41" s="1"/>
  <c r="M2269" i="41"/>
  <c r="N2269" i="41" s="1"/>
  <c r="M2270" i="41"/>
  <c r="N2270" i="41" s="1"/>
  <c r="M2271" i="41"/>
  <c r="N2271" i="41" s="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N2288" i="41" s="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N2311" i="41" s="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N2354" i="41" s="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60" i="41"/>
  <c r="N608" i="41"/>
  <c r="N611" i="41"/>
  <c r="N635" i="41"/>
  <c r="N688" i="41"/>
  <c r="N736" i="41"/>
  <c r="N915" i="41"/>
  <c r="N995" i="41"/>
  <c r="N1000" i="41"/>
  <c r="N1088" i="41"/>
  <c r="K2337" i="41"/>
  <c r="N10" i="41"/>
  <c r="N15" i="41"/>
  <c r="N66" i="41"/>
  <c r="N95" i="41"/>
  <c r="N175" i="41"/>
  <c r="N191" i="41"/>
  <c r="N210" i="41"/>
  <c r="N215" i="41"/>
  <c r="N250" i="41"/>
  <c r="N263" i="41"/>
  <c r="N320" i="41"/>
  <c r="N328" i="41"/>
  <c r="N330" i="41"/>
  <c r="N360" i="41"/>
  <c r="N370" i="41"/>
  <c r="N383" i="41"/>
  <c r="N410" i="41"/>
  <c r="N440" i="41"/>
  <c r="N471" i="41"/>
  <c r="N480" i="41"/>
  <c r="N520" i="41"/>
  <c r="N535" i="41"/>
  <c r="N570" i="41"/>
  <c r="N591" i="41"/>
  <c r="N641" i="41"/>
  <c r="N696" i="41"/>
  <c r="N775" i="41"/>
  <c r="N784" i="41"/>
  <c r="N800" i="41"/>
  <c r="N840" i="41"/>
  <c r="N850" i="41"/>
  <c r="N880" i="41"/>
  <c r="N895" i="41"/>
  <c r="N905" i="41"/>
  <c r="N935" i="41"/>
  <c r="N951" i="41"/>
  <c r="N975" i="41"/>
  <c r="N1055" i="41"/>
  <c r="N1063" i="41"/>
  <c r="N1113" i="41"/>
  <c r="N1231" i="41"/>
  <c r="N1240" i="41"/>
  <c r="N1255" i="41"/>
  <c r="N1280" i="41"/>
  <c r="N1295" i="41"/>
  <c r="N1320" i="41"/>
  <c r="N1330" i="41"/>
  <c r="N1346" i="41"/>
  <c r="N1360" i="41"/>
  <c r="N1386" i="41"/>
  <c r="N1400" i="41"/>
  <c r="N1410" i="41"/>
  <c r="N1426" i="41"/>
  <c r="N1431" i="41"/>
  <c r="N1455" i="41"/>
  <c r="N1480" i="41"/>
  <c r="N1490" i="41"/>
  <c r="N1495" i="41"/>
  <c r="N1528" i="41"/>
  <c r="N1600" i="41"/>
  <c r="N1640" i="41"/>
  <c r="N1656" i="41"/>
  <c r="N1671" i="41"/>
  <c r="N1720" i="41"/>
  <c r="N1735" i="41"/>
  <c r="N1776" i="41"/>
  <c r="N1800" i="41"/>
  <c r="N1855" i="41"/>
  <c r="N1866" i="41"/>
  <c r="N1895" i="41"/>
  <c r="N2015" i="41"/>
  <c r="N2016" i="41"/>
  <c r="N2050" i="41"/>
  <c r="N2055" i="41"/>
  <c r="N2056" i="41"/>
  <c r="N2080" i="41"/>
  <c r="N2151" i="41"/>
  <c r="N2160" i="41"/>
  <c r="N2175" i="41"/>
  <c r="N2216" i="41"/>
  <c r="N2255" i="41"/>
  <c r="N2295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V121" i="18" l="1"/>
  <c r="X2385" i="41"/>
  <c r="X2377" i="41"/>
  <c r="X2369" i="41"/>
  <c r="X2361" i="41"/>
  <c r="X2353" i="41"/>
  <c r="X2345" i="41"/>
  <c r="X2337" i="41"/>
  <c r="X2329" i="41"/>
  <c r="X2321" i="41"/>
  <c r="X2313" i="41"/>
  <c r="X2305" i="41"/>
  <c r="X2297" i="41"/>
  <c r="X2289" i="41"/>
  <c r="X2281" i="41"/>
  <c r="X2273" i="41"/>
  <c r="X2265" i="41"/>
  <c r="X2257" i="41"/>
  <c r="X2249" i="41"/>
  <c r="X2241" i="41"/>
  <c r="X2233" i="41"/>
  <c r="X2225" i="41"/>
  <c r="X2217" i="41"/>
  <c r="X2209" i="41"/>
  <c r="X2201" i="41"/>
  <c r="X2193" i="41"/>
  <c r="X2185" i="41"/>
  <c r="X2177" i="41"/>
  <c r="X2169" i="41"/>
  <c r="X2161" i="41"/>
  <c r="X2153" i="41"/>
  <c r="X2145" i="41"/>
  <c r="X2137" i="41"/>
  <c r="X2129" i="41"/>
  <c r="L1672" i="4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N972" i="41" s="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L762" i="41"/>
  <c r="N762" i="41" s="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N1307" i="41" s="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X121" i="18" l="1"/>
  <c r="W121" i="18"/>
  <c r="U2123" i="4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U8" i="33" s="1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U26" i="33" s="1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U29" i="33" s="1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U11" i="33" s="1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L31" i="33"/>
  <c r="L33" i="33"/>
  <c r="L12" i="33"/>
  <c r="L32" i="33"/>
  <c r="L2" i="33"/>
  <c r="U2" i="33"/>
  <c r="L13" i="33"/>
  <c r="L4" i="33"/>
  <c r="U4" i="33"/>
  <c r="L35" i="33"/>
  <c r="L26" i="33"/>
  <c r="L6" i="33"/>
  <c r="U6" i="33"/>
  <c r="L37" i="33"/>
  <c r="L27" i="33"/>
  <c r="L7" i="33"/>
  <c r="U7" i="33"/>
  <c r="L38" i="33"/>
  <c r="L28" i="33"/>
  <c r="U28" i="33"/>
  <c r="L5" i="33"/>
  <c r="L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R29" i="33"/>
  <c r="R7" i="33"/>
  <c r="R30" i="33"/>
  <c r="R5" i="33"/>
  <c r="R8" i="33"/>
  <c r="R32" i="33"/>
  <c r="R11" i="33"/>
  <c r="G88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H18" i="31"/>
  <c r="G18" i="31"/>
  <c r="D18" i="31"/>
  <c r="I18" i="31" s="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H9" i="29"/>
  <c r="G9" i="29"/>
  <c r="D9" i="29"/>
  <c r="I9" i="29" s="1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I15" i="24" s="1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5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59" i="18" l="1"/>
  <c r="F24" i="18" s="1"/>
  <c r="G113" i="20"/>
  <c r="J114" i="20"/>
  <c r="I114" i="20"/>
  <c r="K114" i="20"/>
  <c r="L60" i="18"/>
  <c r="E33" i="13"/>
  <c r="G34" i="13"/>
  <c r="F108" i="15"/>
  <c r="C20" i="18"/>
  <c r="G20" i="14"/>
  <c r="G21" i="14"/>
  <c r="G112" i="20" l="1"/>
  <c r="K113" i="20"/>
  <c r="J113" i="20"/>
  <c r="I113" i="20"/>
  <c r="L6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315" i="15"/>
  <c r="F318" i="15" s="1"/>
  <c r="G6" i="20" l="1"/>
  <c r="J7" i="20"/>
  <c r="K7" i="20"/>
  <c r="I7" i="20"/>
  <c r="V13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<sst xmlns="http://schemas.openxmlformats.org/spreadsheetml/2006/main" count="11778" uniqueCount="5050">
  <si>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</si>
  <si>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</si>
  <si>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</si>
  <si>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</si>
  <si>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</si>
  <si>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</si>
  <si>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</si>
  <si>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</si>
  <si>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</si>
  <si>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</si>
  <si>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</si>
  <si>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</si>
  <si>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</si>
  <si>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</si>
  <si>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</si>
  <si>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</si>
  <si>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</si>
  <si>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</si>
  <si>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</si>
  <si>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</si>
  <si>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</si>
  <si>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</si>
  <si>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</si>
  <si>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</si>
  <si>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</si>
  <si>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</si>
  <si>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</si>
  <si>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</si>
  <si>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</si>
  <si>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</si>
  <si>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</si>
  <si>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</si>
  <si>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</si>
  <si>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</si>
  <si>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</si>
  <si>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</si>
  <si>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</si>
  <si>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</si>
  <si>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</si>
  <si>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</si>
  <si>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</si>
  <si>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</si>
  <si>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</si>
  <si>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</si>
  <si>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</si>
  <si>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</si>
  <si>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</si>
  <si>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</si>
  <si>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</si>
  <si>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</si>
  <si>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</si>
  <si>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</si>
  <si>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</si>
  <si>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</si>
  <si>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</si>
  <si>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</si>
  <si>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</si>
  <si>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</si>
  <si>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</si>
  <si>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</si>
  <si>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</si>
  <si>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</si>
  <si>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</si>
  <si>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</si>
  <si>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</si>
  <si>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</si>
  <si>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</si>
  <si>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</si>
  <si>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</si>
  <si>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</si>
  <si>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</si>
  <si>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</si>
  <si>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</si>
  <si>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</si>
  <si>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</si>
  <si>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</si>
  <si>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</si>
  <si>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</si>
  <si>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</si>
  <si>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</si>
  <si>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</si>
  <si>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</si>
  <si>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</si>
  <si>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</si>
  <si>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</si>
  <si>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</si>
  <si>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</si>
  <si>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</si>
  <si>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</si>
  <si>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</si>
  <si>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</si>
  <si>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</si>
  <si>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</si>
  <si>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</si>
  <si>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</si>
  <si>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</si>
  <si>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</si>
  <si>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</si>
  <si>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</si>
  <si>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</si>
  <si>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</si>
  <si>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</si>
  <si>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</si>
  <si>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</si>
  <si>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</si>
  <si>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</si>
  <si>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</si>
  <si>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</si>
  <si>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</si>
  <si>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</si>
  <si>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</si>
  <si>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</si>
  <si>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</si>
  <si>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</si>
  <si>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</si>
  <si>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</si>
  <si>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</si>
  <si>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</si>
  <si>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</si>
  <si>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</si>
  <si>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</si>
  <si>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</si>
  <si>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</si>
  <si>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</si>
  <si>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</si>
  <si>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</si>
  <si>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</si>
  <si>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</si>
  <si>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</si>
  <si>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</si>
  <si>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</si>
  <si>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</si>
  <si>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</si>
  <si>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</si>
  <si>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</si>
  <si>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</si>
  <si>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</si>
  <si>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</si>
  <si>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</si>
  <si>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</si>
  <si>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</si>
  <si>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</si>
  <si>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</si>
  <si>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</si>
  <si>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</si>
  <si>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</si>
  <si>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</si>
  <si>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</si>
  <si>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</si>
  <si>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</si>
  <si>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</si>
  <si>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</si>
  <si>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</si>
  <si>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</si>
  <si>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</si>
  <si>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</si>
  <si>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</si>
  <si>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</si>
  <si>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</si>
  <si>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</si>
  <si>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</si>
  <si>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</si>
  <si>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</si>
  <si>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</si>
  <si>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</si>
  <si>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</si>
  <si>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</si>
  <si>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</si>
  <si>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</si>
  <si>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</si>
  <si>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</si>
  <si>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</si>
  <si>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</si>
  <si>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</si>
  <si>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</si>
  <si>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</si>
  <si>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</si>
  <si>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</si>
  <si>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</si>
  <si>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</si>
  <si>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</si>
  <si>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</si>
  <si>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</si>
  <si>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</si>
  <si>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</si>
  <si>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</si>
  <si>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</si>
  <si>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</si>
  <si>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</si>
  <si>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</si>
  <si>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</si>
  <si>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</si>
  <si>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</si>
  <si>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</si>
  <si>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</si>
  <si>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</si>
  <si>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</si>
  <si>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</si>
  <si>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</si>
  <si>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</si>
  <si>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</si>
  <si>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</si>
  <si>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</si>
  <si>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</si>
  <si>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</si>
  <si>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</si>
  <si>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</si>
  <si>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</si>
  <si>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</si>
  <si>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</si>
  <si>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</si>
  <si>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</si>
  <si>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</si>
  <si>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</si>
  <si>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</si>
  <si>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</si>
  <si>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</si>
  <si>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</si>
  <si>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</si>
  <si>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</si>
  <si>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</si>
  <si>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</si>
  <si>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</si>
  <si>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</si>
  <si>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</si>
  <si>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</si>
  <si>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</si>
  <si>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</si>
  <si>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</si>
  <si>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</si>
  <si>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</si>
  <si>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</si>
  <si>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</si>
  <si>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</si>
  <si>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</si>
  <si>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</si>
  <si>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</si>
  <si>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</si>
  <si>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</si>
  <si>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</si>
  <si>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</si>
  <si>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</si>
  <si>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</si>
  <si>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</si>
  <si>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</si>
  <si>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</si>
  <si>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</si>
  <si>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</si>
  <si>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</si>
  <si>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</si>
  <si>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</si>
  <si>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</si>
  <si>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</si>
  <si>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</si>
  <si>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</si>
  <si>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</si>
  <si>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</si>
  <si>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</si>
  <si>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</si>
  <si>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</si>
  <si>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</si>
  <si>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</si>
  <si>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</si>
  <si>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</si>
  <si>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</si>
  <si>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</si>
  <si>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</si>
  <si>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</si>
  <si>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</si>
  <si>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</si>
  <si>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</si>
  <si>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</si>
  <si>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</si>
  <si>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</si>
  <si>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</si>
  <si>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</si>
  <si>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</si>
  <si>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</si>
  <si>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</si>
  <si>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</si>
  <si>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</si>
  <si>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</si>
  <si>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</si>
  <si>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</si>
  <si>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</si>
  <si>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</si>
  <si>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</si>
  <si>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</si>
  <si>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</si>
  <si>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</si>
  <si>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</si>
  <si>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</si>
  <si>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</si>
  <si>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</si>
  <si>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</si>
  <si>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</si>
  <si>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</si>
  <si>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</si>
  <si>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</si>
  <si>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</si>
  <si>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</si>
  <si>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</si>
  <si>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</si>
  <si>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</si>
  <si>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</si>
  <si>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</si>
  <si>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</si>
  <si>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</si>
  <si>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</si>
  <si>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</si>
  <si>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</si>
  <si>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</si>
  <si>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</si>
  <si>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</si>
  <si>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</si>
  <si>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</si>
  <si>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</si>
  <si>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</si>
  <si>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</si>
  <si>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</si>
  <si>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</si>
  <si>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</si>
  <si>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</si>
  <si>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</si>
  <si>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</si>
  <si>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</si>
  <si>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</si>
  <si>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</si>
  <si>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</si>
  <si>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</si>
  <si>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</si>
  <si>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</si>
  <si>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</si>
  <si>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</si>
  <si>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</si>
  <si>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</si>
  <si>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</si>
  <si>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</si>
  <si>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</si>
  <si>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</si>
  <si>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</si>
  <si>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</si>
  <si>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</si>
  <si>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</si>
  <si>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</si>
  <si>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</si>
  <si>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</si>
  <si>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</si>
  <si>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</si>
  <si>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</si>
  <si>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</si>
  <si>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</si>
  <si>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</si>
  <si>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</si>
  <si>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</si>
  <si>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</si>
  <si>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</si>
  <si>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</si>
  <si>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</si>
  <si>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</si>
  <si>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</si>
  <si>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</si>
  <si>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</si>
  <si>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</si>
  <si>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</si>
  <si>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</si>
  <si>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</si>
  <si>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</si>
  <si>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</si>
  <si>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</si>
  <si>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</si>
  <si>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</si>
  <si>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</si>
  <si>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</si>
  <si>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</si>
  <si>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</si>
  <si>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</si>
  <si>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</si>
  <si>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</si>
  <si>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</si>
  <si>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</si>
  <si>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</si>
  <si>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</si>
  <si>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</si>
  <si>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</si>
  <si>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</si>
  <si>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</si>
  <si>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</si>
  <si>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</si>
  <si>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</si>
  <si>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</si>
  <si>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</si>
  <si>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</si>
  <si>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</si>
  <si>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</si>
  <si>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</si>
  <si>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</si>
  <si>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</si>
  <si>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</si>
  <si>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</si>
  <si>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</si>
  <si>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</si>
  <si>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</si>
  <si>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</si>
  <si>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</si>
  <si>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</si>
  <si>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</si>
  <si>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</si>
  <si>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</si>
  <si>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</si>
  <si>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</si>
  <si>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</si>
  <si>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</si>
  <si>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</si>
  <si>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</si>
  <si>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</si>
  <si>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</si>
  <si>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</si>
  <si>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</si>
  <si>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</si>
  <si>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</si>
  <si>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</si>
  <si>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</si>
  <si>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</si>
  <si>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</si>
  <si>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</si>
  <si>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</si>
  <si>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</si>
  <si>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</si>
  <si>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</si>
  <si>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</si>
  <si>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</si>
  <si>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</si>
  <si>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</si>
  <si>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</si>
  <si>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</si>
  <si>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</si>
  <si>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</si>
  <si>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</si>
  <si>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</si>
  <si>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</si>
  <si>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</si>
  <si>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</si>
  <si>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</si>
  <si>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</si>
  <si>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</si>
  <si>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</si>
  <si>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</si>
  <si>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</si>
  <si>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</si>
  <si>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</si>
  <si>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</si>
  <si>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</si>
  <si>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</si>
  <si>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</si>
  <si>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</si>
  <si>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</si>
  <si>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</si>
  <si>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</si>
  <si>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</si>
  <si>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</si>
  <si>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</si>
  <si>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</si>
  <si>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</si>
  <si>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</si>
  <si>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</si>
  <si>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</si>
  <si>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</si>
  <si>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</si>
  <si>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</si>
  <si>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</si>
  <si>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</si>
  <si>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</si>
  <si>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</si>
  <si>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</si>
  <si>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</si>
  <si>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</si>
  <si>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</si>
  <si>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</si>
  <si>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</si>
  <si>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</si>
  <si>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</si>
  <si>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</si>
  <si>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</si>
  <si>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</si>
  <si>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</si>
  <si>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</si>
  <si>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</si>
  <si>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</si>
  <si>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</si>
  <si>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</si>
  <si>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</si>
  <si>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</si>
  <si>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</si>
  <si>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</si>
  <si>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</si>
  <si>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</si>
  <si>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</si>
  <si>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</si>
  <si>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</si>
  <si>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</si>
  <si>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</si>
  <si>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</si>
  <si>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</si>
  <si>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</si>
  <si>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</si>
  <si>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</si>
  <si>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</si>
  <si>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</si>
  <si>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</si>
  <si>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</si>
  <si>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</si>
  <si>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</si>
  <si>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</si>
  <si>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</si>
  <si>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</si>
  <si>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</si>
  <si>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</si>
  <si>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</si>
  <si>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</si>
  <si>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</si>
  <si>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</si>
  <si>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</si>
  <si>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</si>
  <si>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</si>
  <si>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</si>
  <si>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</si>
  <si>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</si>
  <si>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</si>
  <si>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</si>
  <si>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</si>
  <si>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</si>
  <si>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</si>
  <si>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</si>
  <si>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</si>
  <si>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</si>
  <si>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</si>
  <si>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</si>
  <si>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</si>
  <si>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</si>
  <si>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</si>
  <si>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</si>
  <si>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</si>
  <si>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</si>
  <si>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</si>
  <si>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</si>
  <si>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</si>
  <si>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</si>
  <si>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</si>
  <si>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</si>
  <si>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</si>
  <si>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</si>
  <si>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</si>
  <si>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</si>
  <si>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</si>
  <si>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</si>
  <si>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</si>
  <si>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</si>
  <si>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</si>
  <si>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</si>
  <si>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</si>
  <si>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</si>
  <si>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</si>
  <si>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</si>
  <si>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</si>
  <si>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</si>
  <si>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</si>
  <si>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</si>
  <si>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</si>
  <si>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</si>
  <si>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</si>
  <si>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</si>
  <si>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</si>
  <si>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</si>
  <si>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</si>
  <si>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</si>
  <si>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</si>
  <si>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</si>
  <si>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</si>
  <si>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</si>
  <si>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</si>
  <si>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</si>
  <si>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</si>
  <si>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</si>
  <si>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</si>
  <si>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</si>
  <si>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</si>
  <si>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</si>
  <si>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</si>
  <si>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</si>
  <si>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</si>
  <si>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</si>
  <si>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</si>
  <si>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</si>
  <si>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</si>
  <si>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</si>
  <si>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</si>
  <si>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</si>
  <si>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</si>
  <si>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</si>
  <si>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</si>
  <si>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</si>
  <si>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</si>
  <si>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</si>
  <si>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</si>
  <si>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</si>
  <si>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</si>
  <si>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</si>
  <si>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</si>
  <si>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</si>
  <si>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</si>
  <si>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</si>
  <si>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</si>
  <si>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</si>
  <si>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</si>
  <si>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</si>
  <si>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</si>
  <si>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</si>
  <si>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</si>
  <si>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</si>
  <si>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</si>
  <si>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</si>
  <si>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</si>
  <si>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</si>
  <si>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</si>
  <si>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</si>
  <si>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</si>
  <si>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</si>
  <si>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</si>
  <si>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</si>
  <si>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</si>
  <si>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</si>
  <si>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</si>
  <si>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</si>
  <si>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</si>
  <si>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</si>
  <si>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</si>
  <si>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</si>
  <si>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</si>
  <si>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</si>
  <si>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</si>
  <si>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</si>
  <si>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</si>
  <si>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</si>
  <si>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</si>
  <si>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</si>
  <si>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</si>
  <si>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</si>
  <si>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</si>
  <si>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</si>
  <si>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</si>
  <si>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</si>
  <si>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</si>
  <si>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</si>
  <si>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</si>
  <si>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</si>
  <si>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</si>
  <si>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</si>
  <si>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</si>
  <si>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</si>
  <si>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</si>
  <si>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</si>
  <si>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</si>
  <si>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</si>
  <si>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</si>
  <si>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</si>
  <si>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</si>
  <si>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</si>
  <si>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</si>
  <si>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</si>
  <si>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</si>
  <si>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</si>
  <si>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</si>
  <si>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</si>
  <si>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</si>
  <si>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</si>
  <si>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</si>
  <si>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</si>
  <si>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</si>
  <si>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</si>
  <si>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</si>
  <si>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</si>
  <si>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</si>
  <si>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</si>
  <si>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</si>
  <si>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</si>
  <si>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</si>
  <si>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</si>
  <si>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</si>
  <si>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</si>
  <si>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</si>
  <si>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</si>
  <si>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</si>
  <si>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</si>
  <si>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</si>
  <si>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</si>
  <si>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</si>
  <si>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</si>
  <si>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</si>
  <si>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</si>
  <si>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</si>
  <si>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</si>
  <si>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</si>
  <si>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</si>
  <si>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</si>
  <si>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</si>
  <si>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</si>
  <si>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</si>
  <si>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</si>
  <si>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</si>
  <si>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</si>
  <si>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</si>
  <si>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</si>
  <si>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</si>
  <si>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</si>
  <si>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</si>
  <si>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</si>
  <si>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</si>
  <si>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</si>
  <si>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</si>
  <si>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</si>
  <si>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</si>
  <si>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</si>
  <si>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</si>
  <si>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</si>
  <si>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</si>
  <si>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</si>
  <si>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</si>
  <si>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</si>
  <si>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</si>
  <si>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</si>
  <si>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</si>
  <si>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</si>
  <si>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</si>
  <si>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</si>
  <si>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</si>
  <si>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</si>
  <si>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</si>
  <si>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</si>
  <si>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</si>
  <si>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</si>
  <si>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</si>
  <si>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</si>
  <si>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</si>
  <si>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</si>
  <si>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</si>
  <si>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</si>
  <si>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</si>
  <si>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</si>
  <si>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</si>
  <si>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</si>
  <si>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</si>
  <si>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</si>
  <si>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</si>
  <si>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</si>
  <si>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</si>
  <si>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</si>
  <si>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</si>
  <si>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</si>
  <si>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</si>
  <si>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</si>
  <si>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</si>
  <si>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</si>
  <si>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</si>
  <si>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</si>
  <si>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</si>
  <si>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</si>
  <si>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</si>
  <si>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</si>
  <si>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</si>
  <si>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</si>
  <si>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</si>
  <si>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</si>
  <si>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</si>
  <si>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</si>
  <si>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</si>
  <si>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</si>
  <si>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</si>
  <si>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</si>
  <si>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</si>
  <si>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</si>
  <si>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</si>
  <si>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</si>
  <si>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</si>
  <si>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</si>
  <si>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</si>
  <si>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</si>
  <si>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</si>
  <si>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</si>
  <si>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</si>
  <si>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</si>
  <si>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</si>
  <si>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</si>
  <si>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</si>
  <si>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</si>
  <si>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</si>
  <si>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</si>
  <si>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</si>
  <si>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</si>
  <si>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</si>
  <si>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</si>
  <si>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</si>
  <si>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</si>
  <si>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</si>
  <si>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</si>
  <si>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</si>
  <si>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</si>
  <si>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</si>
  <si>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</si>
  <si>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</si>
  <si>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</si>
  <si>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</si>
  <si>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</si>
  <si>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</si>
  <si>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</si>
  <si>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</si>
  <si>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</si>
  <si>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</si>
  <si>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</si>
  <si>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</si>
  <si>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</si>
  <si>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</si>
  <si>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</si>
  <si>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</si>
  <si>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</si>
  <si>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</si>
  <si>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</si>
  <si>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</si>
  <si>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</si>
  <si>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</si>
  <si>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</si>
  <si>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</si>
  <si>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</si>
  <si>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</si>
  <si>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</si>
  <si>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</si>
  <si>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</si>
  <si>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</si>
  <si>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</si>
  <si>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</si>
  <si>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</si>
  <si>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</si>
  <si>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</si>
  <si>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</si>
  <si>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</si>
  <si>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</si>
  <si>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</si>
  <si>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</si>
  <si>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</si>
  <si>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</si>
  <si>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</si>
  <si>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</si>
  <si>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</si>
  <si>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</si>
  <si>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</si>
  <si>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</si>
  <si>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</si>
  <si>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</si>
  <si>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</si>
  <si>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</si>
  <si>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</si>
  <si>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</si>
  <si>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</si>
  <si>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</si>
  <si>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</si>
  <si>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</si>
  <si>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</si>
  <si>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</si>
  <si>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</si>
  <si>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</si>
  <si>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</si>
  <si>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</si>
  <si>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</si>
  <si>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</si>
  <si>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</si>
  <si>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</si>
  <si>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</si>
  <si>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</si>
  <si>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</si>
  <si>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</si>
  <si>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</si>
  <si>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</si>
  <si>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</si>
  <si>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</si>
  <si>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</si>
  <si>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</si>
  <si>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</si>
  <si>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</si>
  <si>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</si>
  <si>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</si>
  <si>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</si>
  <si>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</si>
  <si>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</si>
  <si>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</si>
  <si>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</si>
  <si>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</si>
  <si>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</si>
  <si>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</si>
  <si>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</si>
  <si>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</si>
  <si>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</si>
  <si>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</si>
  <si>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</si>
  <si>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</si>
  <si>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</si>
  <si>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</si>
  <si>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</si>
  <si>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</si>
  <si>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</si>
  <si>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</si>
  <si>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</si>
  <si>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</si>
  <si>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</si>
  <si>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</si>
  <si>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</si>
  <si>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</si>
  <si>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</si>
  <si>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</si>
  <si>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</si>
  <si>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</si>
  <si>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</si>
  <si>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</si>
  <si>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</si>
  <si>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</si>
  <si>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</si>
  <si>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</si>
  <si>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</si>
  <si>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</si>
  <si>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</si>
  <si>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</si>
  <si>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</si>
  <si>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</si>
  <si>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</si>
  <si>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</si>
  <si>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</si>
  <si>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</si>
  <si>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</si>
  <si>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</si>
  <si>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</si>
  <si>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</si>
  <si>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</si>
  <si>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</si>
  <si>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</si>
  <si>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</si>
  <si>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</si>
  <si>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</si>
  <si>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</si>
  <si>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</si>
  <si>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</si>
  <si>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</si>
  <si>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</si>
  <si>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</si>
  <si>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</si>
  <si>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</si>
  <si>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</si>
  <si>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</si>
  <si>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</si>
  <si>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</si>
  <si>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</si>
  <si>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</si>
  <si>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</si>
  <si>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</si>
  <si>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</si>
  <si>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</si>
  <si>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</si>
  <si>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</si>
  <si>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</si>
  <si>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</si>
  <si>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</si>
  <si>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</si>
  <si>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</si>
  <si>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</si>
  <si>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</si>
  <si>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</si>
  <si>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</si>
  <si>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</si>
  <si>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</si>
  <si>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</si>
  <si>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</si>
  <si>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</si>
  <si>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</si>
  <si>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</si>
  <si>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</si>
  <si>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</si>
  <si>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</si>
  <si>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</si>
  <si>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</si>
  <si>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</si>
  <si>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</si>
  <si>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</si>
  <si>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</si>
  <si>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</si>
  <si>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</si>
  <si>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</si>
  <si>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</si>
  <si>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</si>
  <si>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</si>
  <si>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</si>
  <si>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</si>
  <si>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</si>
  <si>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</si>
  <si>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</si>
  <si>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</si>
  <si>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</si>
  <si>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</si>
  <si>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</si>
  <si>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</si>
  <si>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</si>
  <si>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</si>
  <si>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</si>
  <si>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</si>
  <si>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</si>
  <si>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</si>
  <si>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</si>
  <si>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</si>
  <si>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</si>
  <si>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</si>
  <si>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</si>
  <si>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</si>
  <si>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</si>
  <si>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</si>
  <si>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</si>
  <si>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</si>
  <si>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</si>
  <si>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</si>
  <si>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</si>
  <si>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</si>
  <si>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</si>
  <si>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</si>
  <si>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</si>
  <si>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</si>
  <si>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</si>
  <si>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</si>
  <si>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</si>
  <si>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</si>
  <si>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</si>
  <si>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</si>
  <si>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</si>
  <si>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</si>
  <si>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</si>
  <si>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</si>
  <si>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</si>
  <si>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</si>
  <si>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</si>
  <si>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</si>
  <si>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</si>
  <si>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</si>
  <si>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</si>
  <si>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</si>
  <si>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</si>
  <si>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</si>
  <si>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</si>
  <si>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</si>
  <si>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</si>
  <si>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</si>
  <si>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</si>
  <si>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</si>
  <si>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</si>
  <si>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</si>
  <si>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</si>
  <si>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</si>
  <si>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</si>
  <si>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</si>
  <si>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</si>
  <si>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</si>
  <si>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</si>
  <si>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</si>
  <si>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</si>
  <si>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</si>
  <si>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</si>
  <si>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</si>
  <si>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</si>
  <si>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</si>
  <si>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</si>
  <si>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</si>
  <si>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</si>
  <si>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</si>
  <si>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</si>
  <si>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</si>
  <si>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</si>
  <si>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</si>
  <si>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</si>
  <si>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</si>
  <si>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</si>
  <si>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</si>
  <si>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</si>
  <si>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</si>
  <si>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</si>
  <si>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</si>
  <si>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</si>
  <si>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</si>
  <si>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</si>
  <si>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</si>
  <si>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</si>
  <si>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</si>
  <si>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</si>
  <si>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</si>
  <si>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</si>
  <si>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</si>
  <si>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</si>
  <si>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</si>
  <si>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</si>
  <si>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</si>
  <si>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</si>
  <si>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</si>
  <si>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</si>
  <si>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</si>
  <si>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</si>
  <si>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</si>
  <si>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</si>
  <si>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</si>
  <si>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</si>
  <si>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</si>
  <si>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</si>
  <si>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</si>
  <si>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</si>
  <si>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</si>
  <si>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</si>
  <si>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</si>
  <si>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</si>
  <si>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</si>
  <si>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</si>
  <si>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</si>
  <si>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</si>
  <si>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</si>
  <si>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</si>
  <si>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</si>
  <si>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</si>
  <si>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</si>
  <si>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</si>
  <si>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</si>
  <si>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</si>
  <si>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</si>
  <si>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</si>
  <si>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</si>
  <si>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</si>
  <si>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</si>
  <si>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</si>
  <si>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</si>
  <si>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</si>
  <si>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</si>
  <si>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</si>
  <si>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</si>
  <si>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</si>
  <si>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</si>
  <si>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</si>
  <si>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</si>
  <si>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</si>
  <si>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</si>
  <si>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</si>
  <si>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</si>
  <si>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</si>
  <si>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</si>
  <si>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</si>
  <si>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</si>
  <si>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</si>
  <si>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</si>
  <si>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</si>
  <si>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</si>
  <si>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</si>
  <si>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</si>
  <si>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</si>
  <si>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</si>
  <si>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</si>
  <si>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</si>
  <si>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</si>
  <si>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</si>
  <si>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</si>
  <si>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</si>
  <si>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</si>
  <si>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</si>
  <si>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</si>
  <si>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</si>
  <si>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</si>
  <si>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</si>
  <si>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</si>
  <si>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</si>
  <si>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</si>
  <si>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</si>
  <si>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</si>
  <si>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</si>
  <si>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</si>
  <si>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</si>
  <si>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</si>
  <si>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</si>
  <si>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</si>
  <si>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</si>
  <si>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</si>
  <si>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</si>
  <si>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</si>
  <si>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</si>
  <si>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</si>
  <si>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</si>
  <si>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</si>
  <si>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</si>
  <si>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</si>
  <si>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</si>
  <si>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</si>
  <si>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</si>
  <si>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</si>
  <si>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</si>
  <si>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</si>
  <si>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</si>
  <si>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</si>
  <si>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</si>
  <si>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</si>
  <si>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</si>
  <si>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</si>
  <si>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</si>
  <si>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</si>
  <si>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</si>
  <si>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</si>
  <si>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</si>
  <si>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</si>
  <si>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</si>
  <si>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</si>
  <si>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</si>
  <si>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</si>
  <si>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</si>
  <si>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</si>
  <si>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</si>
  <si>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</si>
  <si>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</si>
  <si>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</si>
  <si>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</si>
  <si>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</si>
  <si>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</si>
  <si>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</si>
  <si>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</si>
  <si>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</si>
  <si>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</si>
  <si>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</si>
  <si>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</si>
  <si>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</si>
  <si>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</si>
  <si>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</si>
  <si>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</si>
  <si>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</si>
  <si>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</si>
  <si>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</si>
  <si>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</si>
  <si>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</si>
  <si>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</si>
  <si>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</si>
  <si>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</si>
  <si>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</si>
  <si>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</si>
  <si>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</si>
  <si>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</si>
  <si>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</si>
  <si>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</si>
  <si>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</si>
  <si>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</si>
  <si>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</si>
  <si>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</si>
  <si>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</si>
  <si>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</si>
  <si>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</si>
  <si>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</si>
  <si>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</si>
  <si>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</si>
  <si>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</si>
  <si>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</si>
  <si>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</si>
  <si>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</si>
  <si>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</si>
  <si>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</si>
  <si>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</si>
  <si>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</si>
  <si>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</si>
  <si>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</si>
  <si>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</si>
  <si>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</si>
  <si>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</si>
  <si>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</si>
  <si>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</si>
  <si>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</si>
  <si>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</si>
  <si>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</si>
  <si>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</si>
  <si>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</si>
  <si>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</si>
  <si>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</si>
  <si>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</si>
  <si>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</si>
  <si>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</si>
  <si>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</si>
  <si>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</si>
  <si>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</si>
  <si>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</si>
  <si>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</si>
  <si>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</si>
  <si>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</si>
  <si>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</si>
  <si>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</si>
  <si>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</si>
  <si>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</si>
  <si>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</si>
  <si>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</si>
  <si>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</si>
  <si>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</si>
  <si>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</si>
  <si>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</si>
  <si>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</si>
  <si>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</si>
  <si>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</si>
  <si>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</si>
  <si>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</si>
  <si>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</si>
  <si>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</si>
  <si>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</si>
  <si>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</si>
  <si>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</si>
  <si>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</si>
  <si>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</si>
  <si>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</si>
  <si>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</si>
  <si>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</si>
  <si>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</si>
  <si>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</si>
  <si>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</si>
  <si>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</si>
  <si>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</si>
  <si>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</si>
  <si>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</si>
  <si>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</si>
  <si>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</si>
  <si>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</si>
  <si>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</si>
  <si>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</si>
  <si>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</si>
  <si>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</si>
  <si>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</si>
  <si>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</si>
  <si>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</si>
  <si>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</si>
  <si>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</si>
  <si>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</si>
  <si>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</si>
  <si>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</si>
  <si>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</si>
  <si>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</si>
  <si>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</si>
  <si>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</si>
  <si>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</si>
  <si>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</si>
  <si>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</si>
  <si>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</si>
  <si>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</si>
  <si>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</si>
  <si>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</si>
  <si>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</si>
  <si>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</si>
  <si>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</si>
  <si>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</si>
  <si>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</si>
  <si>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</si>
  <si>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</si>
  <si>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</si>
  <si>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</si>
  <si>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</si>
  <si>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</si>
  <si>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</si>
  <si>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</si>
  <si>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</si>
  <si>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</si>
  <si>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</si>
  <si>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</si>
  <si>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</si>
  <si>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</si>
  <si>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</si>
  <si>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</si>
  <si>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</si>
  <si>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</si>
  <si>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</si>
  <si>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</si>
  <si>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</si>
  <si>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</si>
  <si>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</si>
  <si>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</si>
  <si>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</si>
  <si>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</si>
  <si>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</si>
  <si>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</si>
  <si>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</si>
  <si>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</si>
  <si>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</si>
  <si>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</si>
  <si>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</si>
  <si>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</si>
  <si>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</si>
  <si>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</si>
  <si>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</si>
  <si>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</si>
  <si>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</si>
  <si>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</si>
  <si>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</si>
  <si>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</si>
  <si>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</si>
  <si>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</si>
  <si>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</si>
  <si>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</si>
  <si>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</si>
  <si>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</si>
  <si>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</si>
  <si>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</si>
  <si>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</si>
  <si>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</si>
  <si>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</si>
  <si>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</si>
  <si>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</si>
  <si>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</si>
  <si>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</si>
  <si>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</si>
  <si>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</si>
  <si>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</si>
  <si>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</si>
  <si>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</si>
  <si>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</si>
  <si>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</si>
  <si>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</si>
  <si>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</si>
  <si>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</si>
  <si>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</si>
  <si>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</si>
  <si>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</si>
  <si>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</si>
  <si>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</si>
  <si>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</si>
  <si>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</si>
  <si>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</si>
  <si>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</si>
  <si>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</si>
  <si>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</si>
  <si>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</si>
  <si>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</si>
  <si>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</si>
  <si>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</si>
  <si>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</si>
  <si>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</si>
  <si>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</si>
  <si>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</si>
  <si>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</si>
  <si>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</si>
  <si>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</si>
  <si>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</si>
  <si>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</si>
  <si>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</si>
  <si>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</si>
  <si>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</si>
  <si>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</si>
  <si>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</si>
  <si>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</si>
  <si>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</si>
  <si>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</si>
  <si>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</si>
  <si>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</si>
  <si>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</si>
  <si>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</si>
  <si>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</si>
  <si>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</si>
  <si>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</si>
  <si>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</si>
  <si>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</si>
  <si>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</si>
  <si>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</si>
  <si>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</si>
  <si>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</si>
  <si>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</si>
  <si>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</si>
  <si>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</si>
  <si>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</si>
  <si>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</si>
  <si>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</si>
  <si>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</si>
  <si>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</si>
  <si>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</si>
  <si>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</si>
  <si>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</si>
  <si>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</si>
  <si>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</si>
  <si>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</si>
  <si>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</si>
  <si>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</si>
  <si>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</si>
  <si>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</si>
  <si>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</si>
  <si>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</si>
  <si>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</si>
  <si>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</si>
  <si>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</si>
  <si>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</si>
  <si>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</si>
  <si>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</si>
  <si>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</si>
  <si>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</si>
  <si>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</si>
  <si>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</si>
  <si>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</si>
  <si>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</si>
  <si>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</si>
  <si>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</si>
  <si>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</si>
  <si>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</si>
  <si>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</si>
  <si>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</si>
  <si>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</si>
  <si>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</si>
  <si>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</si>
  <si>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</si>
  <si>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</si>
  <si>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</si>
  <si>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</si>
  <si>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</si>
  <si>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</si>
  <si>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</si>
  <si>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</si>
  <si>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</si>
  <si>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</si>
  <si>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</si>
  <si>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</si>
  <si>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</si>
  <si>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</si>
  <si>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</si>
  <si>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</si>
  <si>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</si>
  <si>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</si>
  <si>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</si>
  <si>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</si>
  <si>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</si>
  <si>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</si>
  <si>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</si>
  <si>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</si>
  <si>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</si>
  <si>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</si>
  <si>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</si>
  <si>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</si>
  <si>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</si>
  <si>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</si>
  <si>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</si>
  <si>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</si>
  <si>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</si>
  <si>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</si>
  <si>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</si>
  <si>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</si>
  <si>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</si>
  <si>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</si>
  <si>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</si>
  <si>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</si>
  <si>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</si>
  <si>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</si>
  <si>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</si>
  <si>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</si>
  <si>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</si>
  <si>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</si>
  <si>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</si>
  <si>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</si>
  <si>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</si>
  <si>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</si>
  <si>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</si>
  <si>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</si>
  <si>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</si>
  <si>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</si>
  <si>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</si>
  <si>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</si>
  <si>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</si>
  <si>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</si>
  <si>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</si>
  <si>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</si>
  <si>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</si>
  <si>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</si>
  <si>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</si>
  <si>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</si>
  <si>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</si>
  <si>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</si>
  <si>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</si>
  <si>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</si>
  <si>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</si>
  <si>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</si>
  <si>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</si>
  <si>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</si>
  <si>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</si>
  <si>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</si>
  <si>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</si>
  <si>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</si>
  <si>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</si>
  <si>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</si>
  <si>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</si>
  <si>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</si>
  <si>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</si>
  <si>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</si>
  <si>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</si>
  <si>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</si>
  <si>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</si>
  <si>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</si>
  <si>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</si>
  <si>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</si>
  <si>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</si>
  <si>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</si>
  <si>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</si>
  <si>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</si>
  <si>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</si>
  <si>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</si>
  <si>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</si>
  <si>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</si>
  <si>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</si>
  <si>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</si>
  <si>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</si>
  <si>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</si>
  <si>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</si>
  <si>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</si>
  <si>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</si>
  <si>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</si>
  <si>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</si>
  <si>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</si>
  <si>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</si>
  <si>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</si>
  <si>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</si>
  <si>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</si>
  <si>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</si>
  <si>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</si>
  <si>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</si>
  <si>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</si>
  <si>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</si>
  <si>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</si>
  <si>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</si>
  <si>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</si>
  <si>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</si>
  <si>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</si>
  <si>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</si>
  <si>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</si>
  <si>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</si>
  <si>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</si>
  <si>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</si>
  <si>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</si>
  <si>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</si>
  <si>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</si>
  <si>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</si>
  <si>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</si>
  <si>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</si>
  <si>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</si>
  <si>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</si>
  <si>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</si>
  <si>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</si>
  <si>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</si>
  <si>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</si>
  <si>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</si>
  <si>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</si>
  <si>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</si>
  <si>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</si>
  <si>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</si>
  <si>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</si>
  <si>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</si>
  <si>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</si>
  <si>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</si>
  <si>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</si>
  <si>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</si>
  <si>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</si>
  <si>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</si>
  <si>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</si>
  <si>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</si>
  <si>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</si>
  <si>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</si>
  <si>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</si>
  <si>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</si>
  <si>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</si>
  <si>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</si>
  <si>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</si>
  <si>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</si>
  <si>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</si>
  <si>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</si>
  <si>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</si>
  <si>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</si>
  <si>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</si>
  <si>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</si>
  <si>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</si>
  <si>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</si>
  <si>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</si>
  <si>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</si>
  <si>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</si>
  <si>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</si>
  <si>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</si>
  <si>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</si>
  <si>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</si>
  <si>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</si>
  <si>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</si>
  <si>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</si>
  <si>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</si>
  <si>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</si>
  <si>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</si>
  <si>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</si>
  <si>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</si>
  <si>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</si>
  <si>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</si>
  <si>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</si>
  <si>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</si>
  <si>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</si>
  <si>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</si>
  <si>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</si>
  <si>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</si>
  <si>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</si>
  <si>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</si>
  <si>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</si>
  <si>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</si>
  <si>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</si>
  <si>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</si>
  <si>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</si>
  <si>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</si>
  <si>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</si>
  <si>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</si>
  <si>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</si>
  <si>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</si>
  <si>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</si>
  <si>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</si>
  <si>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</si>
  <si>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</si>
  <si>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</si>
  <si>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</si>
  <si>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</si>
  <si>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</si>
  <si>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</si>
  <si>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</si>
  <si>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</si>
  <si>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</si>
  <si>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</si>
  <si>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</si>
  <si>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</si>
  <si>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</si>
  <si>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</si>
  <si>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</si>
  <si>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</si>
  <si>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</si>
  <si>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</si>
  <si>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</si>
  <si>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</si>
  <si>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</si>
  <si>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</si>
  <si>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</si>
  <si>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</si>
  <si>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</si>
  <si>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</si>
  <si>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</si>
  <si>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</si>
  <si>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</si>
  <si>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</si>
  <si>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</si>
  <si>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</si>
  <si>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</si>
  <si>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</si>
  <si>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</si>
  <si>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</si>
  <si>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</si>
  <si>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</si>
  <si>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</si>
  <si>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</si>
  <si>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</si>
  <si>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</si>
  <si>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</si>
  <si>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</si>
  <si>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</si>
  <si>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</si>
  <si>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</si>
  <si>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</si>
  <si>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</si>
  <si>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</si>
  <si>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</si>
  <si>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</si>
  <si>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</si>
  <si>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</si>
  <si>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</si>
  <si>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</si>
  <si>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</si>
  <si>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</si>
  <si>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</si>
  <si>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</si>
  <si>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</si>
  <si>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</si>
  <si>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</si>
  <si>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</si>
  <si>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</si>
  <si>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</si>
  <si>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</si>
  <si>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</si>
  <si>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</si>
  <si>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</si>
  <si>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</si>
  <si>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</si>
  <si>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</si>
  <si>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</si>
  <si>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</si>
  <si>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</si>
  <si>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</si>
  <si>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</si>
  <si>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</si>
  <si>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</si>
  <si>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</si>
  <si>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</si>
  <si>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</si>
  <si>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</si>
  <si>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</si>
  <si>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</si>
  <si>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</si>
  <si>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</si>
  <si>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</si>
  <si>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</si>
  <si>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</si>
  <si>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</si>
  <si>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</si>
  <si>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</si>
  <si>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</si>
  <si>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</si>
  <si>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</si>
  <si>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</si>
  <si>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</si>
  <si>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</si>
  <si>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</si>
  <si>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</si>
  <si>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</si>
  <si>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</si>
  <si>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</si>
  <si>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</si>
  <si>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</si>
  <si>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</si>
  <si>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</si>
  <si>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</si>
  <si>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</si>
  <si>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</si>
  <si>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</si>
  <si>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</si>
  <si>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</si>
  <si>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</si>
  <si>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</si>
  <si>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</si>
  <si>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</si>
  <si>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</si>
  <si>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</si>
  <si>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</si>
  <si>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</si>
  <si>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</si>
  <si>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</si>
  <si>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</si>
  <si>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</si>
  <si>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</si>
  <si>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</si>
  <si>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</si>
  <si>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</si>
  <si>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</si>
  <si>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</si>
  <si>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</si>
  <si>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</si>
  <si>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</si>
  <si>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</si>
  <si>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</si>
  <si>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</si>
  <si>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</si>
  <si>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</si>
  <si>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</si>
  <si>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</si>
  <si>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</si>
  <si>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</si>
  <si>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</si>
  <si>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</si>
  <si>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</si>
  <si>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</si>
  <si>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</si>
  <si>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</si>
  <si>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</si>
  <si>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</si>
  <si>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</si>
  <si>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</si>
  <si>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</si>
  <si>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</si>
  <si>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</si>
  <si>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</si>
  <si>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</si>
  <si>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</si>
  <si>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</si>
  <si>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</si>
  <si>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</si>
  <si>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</si>
  <si>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</si>
  <si>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</si>
  <si>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</si>
  <si>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</si>
  <si>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</si>
  <si>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</si>
  <si>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</si>
  <si>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</si>
  <si>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</si>
  <si>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</si>
  <si>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</si>
  <si>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</si>
  <si>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</si>
  <si>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</si>
  <si>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</si>
  <si>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</si>
  <si>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</si>
  <si>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</si>
  <si>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</si>
  <si>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</si>
  <si>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</si>
  <si>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</si>
  <si>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</si>
  <si>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</si>
  <si>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</si>
  <si>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</si>
  <si>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</si>
  <si>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</si>
  <si>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</si>
  <si>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</si>
  <si>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</si>
  <si>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</si>
  <si>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</si>
  <si>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</si>
  <si>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</si>
  <si>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</si>
  <si>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</si>
  <si>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</si>
  <si>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</si>
  <si>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</si>
  <si>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</si>
  <si>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</si>
  <si>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</si>
  <si>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</si>
  <si>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</si>
  <si>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</si>
  <si>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</si>
  <si>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</si>
  <si>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</si>
  <si>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</si>
  <si>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</si>
  <si>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</si>
  <si>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</si>
  <si>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</si>
  <si>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</si>
  <si>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</si>
  <si>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</si>
  <si>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</si>
  <si>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</si>
  <si>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</si>
  <si>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</si>
  <si>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</si>
  <si>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</si>
  <si>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</si>
  <si>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</si>
  <si>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</si>
  <si>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</si>
  <si>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</si>
  <si>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</si>
  <si>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</si>
  <si>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</si>
  <si>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</si>
  <si>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</si>
  <si>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</si>
  <si>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</si>
  <si>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</si>
  <si>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</si>
  <si>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</si>
  <si>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</si>
  <si>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</si>
  <si>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</si>
  <si>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</si>
  <si>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</si>
  <si>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</si>
  <si>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</si>
  <si>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</si>
  <si>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</si>
  <si>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</si>
  <si>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</si>
  <si>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</si>
  <si>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</si>
  <si>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</si>
  <si>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</si>
  <si>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</si>
  <si>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</si>
  <si>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</si>
  <si>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</si>
  <si>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</si>
  <si>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</si>
  <si>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</si>
  <si>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</si>
  <si>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</si>
  <si>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</si>
  <si>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</si>
  <si>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</si>
  <si>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</si>
  <si>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</si>
  <si>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</si>
  <si>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</si>
  <si>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</si>
  <si>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</si>
  <si>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</si>
  <si>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</si>
  <si>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</si>
  <si>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</si>
  <si>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</si>
  <si>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</si>
  <si>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</si>
  <si>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</si>
  <si>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</si>
  <si>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</si>
  <si>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</si>
  <si>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</si>
  <si>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</si>
  <si>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</si>
  <si>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</si>
  <si>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</si>
  <si>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</si>
  <si>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</si>
  <si>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</si>
  <si>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</si>
  <si>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</si>
  <si>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</si>
  <si>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</si>
  <si>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</si>
  <si>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</si>
  <si>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</si>
  <si>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</si>
  <si>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</si>
  <si>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</si>
  <si>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</si>
  <si>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</si>
  <si>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</si>
  <si>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</si>
  <si>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</si>
  <si>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</si>
  <si>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</si>
  <si>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</si>
  <si>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</si>
  <si>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</si>
  <si>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</si>
  <si>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</si>
  <si>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</si>
  <si>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</si>
  <si>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</si>
  <si>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</si>
  <si>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</si>
  <si>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</si>
  <si>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</si>
  <si>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</si>
  <si>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</si>
  <si>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</si>
  <si>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</si>
  <si>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</si>
  <si>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</si>
  <si>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</si>
  <si>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</si>
  <si>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</si>
  <si>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</si>
  <si>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</si>
  <si>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</si>
  <si>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</si>
  <si>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</si>
  <si>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</si>
  <si>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</si>
  <si>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</si>
  <si>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</si>
  <si>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</si>
  <si>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</si>
  <si>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</si>
  <si>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</si>
  <si>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</si>
  <si>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</si>
  <si>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</si>
  <si>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</si>
  <si>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</si>
  <si>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</si>
  <si>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</si>
  <si>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</si>
  <si>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</si>
  <si>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</si>
  <si>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</si>
  <si>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</si>
  <si>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</si>
  <si>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</si>
  <si>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</si>
  <si>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</si>
  <si>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</si>
  <si>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</si>
  <si>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</si>
  <si>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</si>
  <si>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</si>
  <si>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</si>
  <si>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</si>
  <si>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</si>
  <si>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</si>
  <si>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</si>
  <si>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</si>
  <si>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</si>
  <si>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</si>
  <si>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</si>
  <si>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</si>
  <si>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</si>
  <si>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</si>
  <si>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</si>
  <si>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</si>
  <si>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</si>
  <si>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</si>
  <si>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</si>
  <si>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</si>
  <si>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</si>
  <si>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</si>
  <si>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</si>
  <si>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</si>
  <si>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</si>
  <si>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</si>
  <si>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</si>
  <si>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</si>
  <si>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</si>
  <si>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</si>
  <si>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</si>
  <si>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</si>
  <si>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</si>
  <si>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</si>
  <si>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</si>
  <si>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</si>
  <si>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</si>
  <si>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</si>
  <si>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</si>
  <si>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</si>
  <si>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</si>
  <si>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</si>
  <si>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</si>
  <si>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</si>
  <si>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</si>
  <si>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</si>
  <si>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</si>
  <si>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</si>
  <si>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</si>
  <si>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</si>
  <si>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</si>
  <si>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</si>
  <si>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</si>
  <si>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</si>
  <si>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</si>
  <si>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</si>
  <si>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</si>
  <si>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</si>
  <si>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</si>
  <si>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</si>
  <si>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</si>
  <si>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</si>
  <si>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</si>
  <si>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</si>
  <si>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</si>
  <si>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</si>
  <si>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</si>
  <si>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</si>
  <si>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</si>
  <si>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</si>
  <si>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</si>
  <si>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</si>
  <si>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</si>
  <si>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</si>
  <si>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</si>
  <si>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</si>
  <si>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</si>
  <si>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</si>
  <si>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</si>
  <si>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</si>
  <si>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</si>
  <si>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</si>
  <si>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</si>
  <si>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</si>
  <si>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</si>
  <si>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</si>
  <si>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</si>
  <si>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</si>
  <si>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</si>
  <si>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</si>
  <si>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</si>
  <si>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</si>
  <si>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</si>
  <si>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</si>
  <si>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</si>
  <si>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</si>
  <si>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</si>
  <si>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</si>
  <si>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</si>
  <si>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</si>
  <si>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</si>
  <si>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</si>
  <si>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</si>
  <si>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</si>
  <si>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</si>
  <si>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</si>
  <si>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</si>
  <si>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</si>
  <si>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</si>
  <si>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</si>
  <si>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</si>
  <si>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</si>
  <si>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</si>
  <si>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</si>
  <si>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</si>
  <si>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</si>
  <si>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</si>
  <si>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</si>
  <si>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</si>
  <si>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</si>
  <si>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</si>
  <si>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</si>
  <si>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</si>
  <si>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</si>
  <si>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</si>
  <si>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</si>
  <si>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</si>
  <si>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</si>
  <si>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</si>
  <si>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</si>
  <si>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</si>
  <si>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</si>
  <si>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</si>
  <si>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</si>
  <si>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</si>
  <si>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</si>
  <si>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</si>
  <si>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</si>
  <si>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</si>
  <si>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</si>
  <si>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</si>
  <si>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</si>
  <si>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</si>
  <si>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</si>
  <si>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</si>
  <si>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</si>
  <si>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</si>
  <si>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</si>
  <si>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</si>
  <si>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</si>
  <si>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</si>
  <si>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</si>
  <si>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</si>
  <si>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</si>
  <si>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</si>
  <si>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</si>
  <si>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</si>
  <si>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</si>
  <si>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</si>
  <si>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</si>
  <si>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</si>
  <si>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</si>
  <si>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</si>
  <si>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</si>
  <si>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</si>
  <si>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</si>
  <si>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</si>
  <si>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</si>
  <si>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</si>
  <si>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</si>
  <si>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</si>
  <si>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</si>
  <si>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</si>
  <si>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</si>
  <si>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</si>
  <si>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</si>
  <si>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</si>
  <si>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</si>
  <si>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</si>
  <si>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</si>
  <si>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</si>
  <si>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</si>
  <si>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</si>
  <si>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</si>
  <si>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</si>
  <si>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</si>
  <si>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</si>
  <si>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</si>
  <si>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</si>
  <si>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</si>
  <si>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</si>
  <si>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</si>
  <si>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</si>
  <si>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</si>
  <si>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</si>
  <si>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</si>
  <si>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</si>
  <si>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</si>
  <si>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</si>
  <si>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</si>
  <si>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</si>
  <si>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</si>
  <si>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</si>
  <si>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</si>
  <si>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</si>
  <si>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</si>
  <si>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</si>
  <si>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</si>
  <si>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</si>
  <si>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</si>
  <si>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</si>
  <si>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</si>
  <si>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</si>
  <si>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</si>
  <si>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</si>
  <si>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</si>
  <si>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</si>
  <si>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</si>
  <si>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</si>
  <si>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</si>
  <si>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</si>
  <si>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</si>
  <si>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</si>
  <si>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</si>
  <si>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</si>
  <si>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</si>
  <si>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</si>
  <si>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</si>
  <si>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</si>
  <si>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</si>
  <si>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</si>
  <si>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</si>
  <si>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</si>
  <si>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</si>
  <si>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</si>
  <si>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</si>
  <si>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</si>
  <si>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</si>
  <si>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</si>
  <si>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</si>
  <si>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</si>
  <si>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</si>
  <si>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</si>
  <si>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</si>
  <si>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</si>
  <si>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</si>
  <si>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</si>
  <si>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</si>
  <si>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</si>
  <si>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</si>
  <si>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</si>
  <si>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</si>
  <si>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</si>
  <si>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</si>
  <si>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</si>
  <si>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</si>
  <si>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</si>
  <si>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</si>
  <si>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</si>
  <si>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</si>
  <si>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</si>
  <si>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</si>
  <si>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</si>
  <si>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</si>
  <si>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</si>
  <si>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</si>
  <si>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</si>
  <si>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</si>
  <si>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</si>
  <si>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</si>
  <si>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</si>
  <si>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</si>
  <si>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</si>
  <si>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</si>
  <si>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</si>
  <si>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</si>
  <si>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</si>
  <si>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</si>
  <si>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</si>
  <si>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</si>
  <si>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</si>
  <si>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</si>
  <si>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</si>
  <si>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</si>
  <si>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</si>
  <si>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</si>
  <si>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</si>
  <si>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</si>
  <si>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</si>
  <si>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</si>
  <si>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</si>
  <si>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</si>
  <si>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</si>
  <si>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</si>
  <si>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</si>
  <si>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</si>
  <si>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</si>
  <si>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</si>
  <si>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</si>
  <si>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</si>
  <si>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</si>
  <si>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</si>
  <si>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</si>
  <si>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</si>
  <si>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</si>
  <si>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</si>
  <si>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</si>
  <si>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</si>
  <si>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</si>
  <si>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</si>
  <si>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</si>
  <si>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</si>
  <si>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</si>
  <si>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</si>
  <si>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</si>
  <si>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</si>
  <si>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</si>
  <si>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</si>
  <si>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</si>
  <si>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</si>
  <si>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</si>
  <si>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</si>
  <si>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</si>
  <si>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</si>
  <si>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</si>
  <si>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</si>
  <si>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</si>
  <si>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</si>
  <si>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</si>
  <si>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</si>
  <si>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</si>
  <si>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</si>
  <si>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</si>
  <si>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</si>
  <si>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</si>
  <si>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</si>
  <si>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</si>
  <si>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</si>
  <si>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</si>
  <si>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</si>
  <si>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</si>
  <si>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</si>
  <si>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</si>
  <si>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</si>
  <si>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</si>
  <si>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</si>
  <si>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</si>
  <si>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</si>
  <si>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</si>
  <si>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</si>
  <si>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</si>
  <si>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</si>
  <si>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</si>
  <si>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</si>
  <si>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</si>
  <si>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</si>
  <si>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</si>
  <si>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</si>
  <si>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</si>
  <si>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</si>
  <si>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</si>
  <si>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</si>
  <si>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</si>
  <si>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</si>
  <si>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</si>
  <si>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</si>
  <si>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</si>
  <si>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</si>
  <si>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</si>
  <si>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</si>
  <si>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</si>
  <si>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</si>
  <si>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</si>
  <si>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</si>
  <si>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</si>
  <si>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</si>
  <si>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</si>
  <si>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</si>
  <si>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</si>
  <si>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</si>
  <si>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</si>
  <si>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</si>
  <si>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</si>
  <si>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</si>
  <si>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</si>
  <si>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</si>
  <si>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</si>
  <si>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</si>
  <si>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</si>
  <si>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</si>
  <si>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</si>
  <si>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</si>
  <si>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</si>
  <si>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</si>
  <si>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</si>
  <si>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</si>
  <si>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</si>
  <si>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</si>
  <si>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</si>
  <si>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</si>
  <si>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</si>
  <si>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</si>
  <si>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</si>
  <si>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</si>
  <si>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</si>
  <si>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</si>
  <si>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</si>
  <si>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</si>
  <si>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</si>
  <si>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</si>
  <si>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</si>
  <si>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</si>
  <si>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</si>
  <si>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</si>
  <si>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</si>
  <si>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</si>
  <si>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</si>
  <si>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</si>
  <si>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</si>
  <si>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</si>
  <si>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</si>
  <si>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</si>
  <si>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</si>
  <si>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</si>
  <si>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</si>
  <si>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</si>
  <si>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</si>
  <si>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</si>
  <si>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</si>
  <si>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</si>
  <si>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</si>
  <si>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</si>
  <si>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</si>
  <si>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</si>
  <si>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</si>
  <si>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</si>
  <si>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</si>
  <si>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</si>
  <si>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</si>
  <si>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</si>
  <si>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</si>
  <si>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</si>
  <si>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</si>
  <si>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</si>
  <si>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</si>
  <si>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</si>
  <si>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</si>
  <si>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</si>
  <si>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</si>
  <si>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</si>
  <si>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</si>
  <si>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</si>
  <si>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</si>
  <si>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</si>
  <si>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</si>
  <si>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</si>
  <si>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</si>
  <si>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</si>
  <si>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</si>
  <si>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</si>
  <si>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</si>
  <si>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</si>
  <si>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</si>
  <si>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</si>
  <si>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</si>
  <si>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</si>
  <si>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</si>
  <si>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</si>
  <si>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</si>
  <si>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</si>
  <si>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</si>
  <si>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</si>
  <si>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</si>
  <si>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</si>
  <si>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</si>
  <si>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</si>
  <si>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</si>
  <si>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</si>
  <si>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</si>
  <si>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</si>
  <si>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</si>
  <si>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</si>
  <si>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</si>
  <si>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</si>
  <si>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</si>
  <si>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</si>
  <si>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</si>
  <si>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</si>
  <si>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</si>
  <si>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</si>
  <si>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</si>
  <si>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</si>
  <si>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</si>
  <si>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</si>
  <si>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</si>
  <si>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</si>
  <si>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</si>
  <si>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</si>
  <si>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</si>
  <si>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</si>
  <si>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</si>
  <si>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</si>
  <si>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</si>
  <si>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</si>
  <si>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</si>
  <si>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</si>
  <si>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</si>
  <si>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</si>
  <si>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</si>
  <si>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</si>
  <si>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</si>
  <si>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</si>
  <si>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</si>
  <si>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</si>
  <si>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</si>
  <si>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</si>
  <si>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</si>
  <si>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</si>
  <si>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</si>
  <si>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</si>
  <si>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</si>
  <si>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</si>
  <si>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</si>
  <si>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</si>
  <si>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</si>
  <si>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</si>
  <si>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</si>
  <si>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</si>
  <si>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</si>
  <si>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</si>
  <si>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</si>
  <si>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</si>
  <si>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</si>
  <si>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</si>
  <si>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</si>
  <si>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</si>
  <si>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</si>
  <si>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</si>
  <si>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</si>
  <si>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</si>
  <si>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</si>
  <si>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</si>
  <si>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</si>
  <si>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</si>
  <si>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</si>
  <si>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</si>
  <si>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</si>
  <si>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</si>
  <si>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</si>
  <si>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</si>
  <si>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</si>
  <si>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</si>
  <si>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</si>
  <si>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</si>
  <si>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</si>
  <si>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</si>
  <si>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</si>
  <si>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</si>
  <si>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</si>
  <si>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</si>
  <si>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</si>
  <si>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</si>
  <si>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</si>
  <si>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</si>
  <si>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</si>
  <si>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</si>
  <si>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</si>
  <si>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</si>
  <si>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</si>
  <si>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</si>
  <si>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</si>
  <si>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</si>
  <si>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</si>
  <si>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</si>
  <si>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</si>
  <si>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</si>
  <si>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</si>
  <si>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</si>
  <si>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</si>
  <si>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</si>
  <si>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</si>
  <si>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</si>
  <si>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</si>
  <si>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</si>
  <si>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</si>
  <si>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</si>
  <si>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</si>
  <si>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</si>
  <si>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</si>
  <si>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</si>
  <si>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</si>
  <si>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</si>
  <si>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</si>
  <si>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</si>
  <si>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</si>
  <si>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</si>
  <si>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</si>
  <si>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</si>
  <si>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</si>
  <si>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</si>
  <si>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</si>
  <si>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</si>
  <si>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</si>
  <si>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</si>
  <si>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</si>
  <si>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</si>
  <si>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</si>
  <si>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</si>
  <si>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</si>
  <si>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</si>
  <si>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</si>
  <si>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</si>
  <si>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</si>
  <si>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</si>
  <si>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</si>
  <si>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</si>
  <si>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</si>
  <si>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</si>
  <si>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</si>
  <si>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</si>
  <si>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</si>
  <si>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</si>
  <si>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</si>
  <si>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</si>
  <si>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</si>
  <si>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</si>
  <si>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</si>
  <si>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</si>
  <si>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</si>
  <si>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</si>
  <si>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</si>
  <si>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</si>
  <si>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</si>
  <si>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</si>
  <si>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</si>
  <si>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</si>
  <si>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</si>
  <si>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</si>
  <si>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</si>
  <si>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</si>
  <si>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</si>
  <si>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</si>
  <si>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</si>
  <si>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</si>
  <si>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</si>
  <si>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</si>
  <si>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</si>
  <si>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</si>
  <si>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</si>
  <si>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</si>
  <si>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</si>
  <si>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</si>
  <si>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</si>
  <si>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</si>
  <si>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</si>
  <si>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</si>
  <si>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</si>
  <si>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</si>
  <si>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</si>
  <si>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</si>
  <si>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</si>
  <si>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</si>
  <si>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</si>
  <si>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</si>
  <si>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</si>
  <si>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</si>
  <si>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</si>
  <si>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</si>
  <si>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</si>
  <si>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</si>
  <si>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</si>
  <si>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</si>
  <si>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</si>
  <si>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</si>
  <si>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</si>
  <si>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</si>
  <si>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</si>
  <si>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</si>
  <si>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</si>
  <si>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</si>
  <si>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</si>
  <si>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</si>
  <si>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</si>
  <si>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</si>
  <si>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</si>
  <si>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</si>
  <si>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</si>
  <si>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</si>
  <si>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</si>
  <si>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</si>
  <si>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</si>
  <si>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</si>
  <si>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</si>
  <si>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</si>
  <si>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</si>
  <si>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</si>
  <si>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</si>
  <si>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</si>
  <si>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</si>
  <si>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</si>
  <si>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</si>
  <si>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</si>
  <si>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</si>
  <si>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</si>
  <si>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</si>
  <si>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</si>
  <si>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</si>
  <si>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</si>
  <si>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</si>
  <si>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</si>
  <si>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</si>
  <si>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</si>
  <si>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</si>
  <si>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</si>
  <si>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</si>
  <si>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</si>
  <si>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</si>
  <si>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</si>
  <si>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</si>
  <si>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</si>
  <si>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</si>
  <si>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</si>
  <si>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</si>
  <si>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</si>
  <si>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</si>
  <si>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</si>
  <si>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</si>
  <si>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</si>
  <si>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</si>
  <si>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</si>
  <si>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</si>
  <si>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</si>
  <si>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</si>
  <si>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</si>
  <si>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</si>
  <si>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</si>
  <si>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</si>
  <si>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</si>
  <si>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</si>
  <si>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</si>
  <si>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</si>
  <si>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</si>
  <si>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</si>
  <si>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</si>
  <si>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</si>
  <si>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</si>
  <si>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</si>
  <si>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</si>
  <si>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</si>
  <si>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</si>
  <si>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</si>
  <si>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</si>
  <si>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</si>
  <si>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</si>
  <si>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</si>
  <si>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</si>
  <si>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</si>
  <si>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</si>
  <si>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</si>
  <si>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</si>
  <si>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</si>
  <si>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</si>
  <si>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</si>
  <si>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</si>
  <si>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</si>
  <si>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</si>
  <si>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</si>
  <si>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</si>
  <si>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</si>
  <si>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</si>
  <si>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</si>
  <si>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</si>
  <si>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</si>
  <si>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</si>
  <si>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</si>
  <si>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</si>
  <si>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</si>
  <si>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</si>
  <si>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</si>
  <si>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</si>
  <si>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</si>
  <si>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</si>
  <si>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</si>
  <si>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</si>
  <si>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</si>
  <si>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</si>
  <si>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</si>
  <si>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</si>
  <si>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</si>
  <si>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</si>
  <si>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</si>
  <si>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</si>
  <si>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</si>
  <si>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</si>
  <si>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</si>
  <si>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</si>
  <si>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</si>
  <si>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</si>
  <si>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</si>
  <si>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</si>
  <si>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</si>
  <si>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</si>
  <si>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</si>
  <si>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</si>
  <si>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</si>
  <si>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</si>
  <si>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</si>
  <si>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</si>
  <si>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</si>
  <si>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</si>
  <si>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</si>
  <si>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</si>
  <si>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</si>
  <si>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</si>
  <si>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</si>
  <si>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</si>
  <si>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</si>
  <si>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</si>
  <si>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</si>
  <si>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</si>
  <si>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</si>
  <si>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</si>
  <si>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</si>
  <si>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</si>
  <si>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</si>
  <si>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</si>
  <si>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</si>
  <si>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</si>
  <si>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</si>
  <si>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</si>
  <si>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</si>
  <si>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</si>
  <si>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</si>
  <si>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</si>
  <si>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</si>
  <si>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</si>
  <si>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</si>
  <si>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</si>
  <si>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</si>
  <si>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</si>
  <si>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</si>
  <si>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</si>
  <si>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</si>
  <si>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</si>
  <si>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</si>
  <si>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</si>
  <si>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</si>
  <si>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</si>
  <si>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</si>
  <si>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</si>
  <si>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</si>
  <si>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</si>
  <si>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</si>
  <si>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</si>
  <si>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</si>
  <si>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</si>
  <si>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</si>
  <si>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</si>
  <si>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</si>
  <si>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</si>
  <si>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</si>
  <si>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</si>
  <si>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</si>
  <si>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</si>
  <si>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</si>
  <si>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</si>
  <si>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</si>
  <si>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</si>
  <si>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</si>
  <si>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</si>
  <si>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</si>
  <si>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</si>
  <si>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</si>
  <si>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</si>
  <si>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</si>
  <si>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</si>
  <si>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</si>
  <si>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</si>
  <si>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</si>
  <si>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</si>
  <si>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</si>
  <si>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</si>
  <si>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</si>
  <si>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</si>
  <si>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</si>
  <si>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</si>
  <si>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</si>
  <si>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</si>
  <si>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</si>
  <si>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</si>
  <si>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</si>
  <si>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</si>
  <si>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</si>
  <si>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</si>
  <si>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</si>
  <si>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</si>
  <si>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</si>
  <si>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</si>
  <si>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</si>
  <si>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</si>
  <si>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</si>
  <si>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</si>
  <si>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</si>
  <si>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</si>
  <si>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</si>
  <si>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</si>
  <si>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</si>
  <si>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</si>
  <si>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</si>
  <si>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</si>
  <si>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</si>
  <si>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</si>
  <si>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</si>
  <si>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</si>
  <si>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</si>
  <si>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</si>
  <si>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</si>
  <si>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</si>
  <si>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</si>
  <si>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</si>
  <si>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</si>
  <si>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</si>
  <si>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</si>
  <si>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</si>
  <si>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</si>
  <si>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</si>
  <si>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</si>
  <si>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</si>
  <si>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</si>
  <si>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</si>
  <si>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</si>
  <si>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</si>
  <si>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</si>
  <si>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</si>
  <si>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</si>
  <si>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</si>
  <si>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</si>
  <si>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</si>
  <si>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</si>
  <si>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</si>
  <si>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</si>
  <si>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</si>
  <si>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</si>
  <si>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</si>
  <si>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</si>
  <si>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</si>
  <si>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</si>
  <si>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</si>
  <si>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</si>
  <si>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</si>
  <si>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</si>
  <si>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</si>
  <si>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</si>
  <si>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</si>
  <si>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</si>
  <si>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</si>
  <si>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</si>
  <si>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</si>
  <si>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</si>
  <si>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</si>
  <si>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</si>
  <si>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</si>
  <si>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</si>
  <si>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</si>
  <si>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</si>
  <si>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</si>
  <si>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</si>
  <si>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</si>
  <si>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</si>
  <si>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</si>
  <si>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</si>
  <si>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</si>
  <si>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</si>
  <si>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</si>
  <si>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</si>
  <si>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</si>
  <si>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</si>
  <si>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</si>
  <si>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</si>
  <si>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</si>
  <si>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</si>
  <si>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</si>
  <si>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</si>
  <si>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</si>
  <si>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</si>
  <si>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</si>
  <si>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</si>
  <si>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</si>
  <si>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</si>
  <si>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</si>
  <si>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</si>
  <si>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</si>
  <si>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</si>
  <si>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</si>
  <si>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</si>
  <si>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</si>
  <si>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</si>
  <si>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</si>
  <si>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</si>
  <si>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</si>
  <si>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</si>
  <si>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</si>
  <si>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</si>
  <si>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</si>
  <si>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</si>
  <si>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</si>
  <si>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</si>
  <si>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</si>
  <si>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</si>
  <si>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</si>
  <si>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</si>
  <si>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</si>
  <si>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</si>
  <si>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</si>
  <si>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</si>
  <si>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</si>
  <si>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</si>
  <si>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</si>
  <si>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</si>
  <si>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</si>
  <si>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</si>
  <si>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</si>
  <si>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</si>
  <si>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</si>
  <si>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</si>
  <si>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</si>
  <si>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</si>
  <si>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</si>
  <si>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</si>
  <si>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</si>
  <si>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</si>
  <si>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</si>
  <si>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</si>
  <si>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</si>
  <si>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</si>
  <si>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</si>
  <si>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</si>
  <si>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</si>
  <si>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</si>
  <si>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</si>
  <si>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</si>
  <si>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</si>
  <si>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</si>
  <si>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</si>
  <si>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</si>
  <si>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</si>
  <si>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</si>
  <si>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</si>
  <si>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</si>
  <si>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</si>
  <si>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</si>
  <si>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</si>
  <si>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</si>
  <si>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</si>
  <si>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</si>
  <si>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</si>
  <si>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</si>
  <si>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</si>
  <si>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</si>
  <si>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</si>
  <si>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</si>
  <si>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</si>
  <si>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</si>
  <si>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</si>
  <si>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</si>
  <si>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</si>
  <si>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</si>
  <si>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</si>
  <si>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</si>
  <si>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</si>
  <si>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</si>
  <si>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</si>
  <si>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</si>
  <si>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</si>
  <si>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</si>
  <si>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</si>
  <si>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</si>
  <si>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</si>
  <si>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</si>
  <si>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</si>
  <si>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</si>
  <si>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</si>
  <si>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</si>
  <si>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</si>
  <si>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</si>
  <si>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</si>
  <si>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</si>
  <si>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</si>
  <si>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</si>
  <si>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</si>
  <si>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</si>
  <si>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</si>
  <si>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</si>
  <si>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</si>
  <si>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</si>
  <si>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</si>
  <si>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</si>
  <si>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</si>
  <si>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</si>
  <si>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</si>
  <si>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</si>
  <si>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</si>
  <si>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</si>
  <si>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</si>
  <si>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</si>
  <si>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</si>
  <si>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</si>
  <si>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</si>
  <si>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</si>
  <si>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</si>
  <si>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</si>
  <si>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</si>
  <si>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</si>
  <si>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</si>
  <si>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</si>
  <si>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</si>
  <si>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</si>
  <si>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</si>
  <si>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</si>
  <si>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</si>
  <si>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</si>
  <si>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</si>
  <si>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</si>
  <si>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</si>
  <si>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</si>
  <si>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</si>
  <si>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</si>
  <si>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</si>
  <si>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</si>
  <si>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</si>
  <si>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</si>
  <si>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</si>
  <si>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</si>
  <si>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</si>
  <si>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</si>
  <si>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</si>
  <si>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</si>
  <si>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</si>
  <si>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</si>
  <si>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</si>
  <si>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</si>
  <si>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</si>
  <si>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</si>
  <si>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</si>
  <si>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</si>
  <si>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</si>
  <si>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</si>
  <si>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</si>
  <si>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</si>
  <si>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</si>
  <si>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</si>
  <si>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</si>
  <si>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</si>
  <si>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</si>
  <si>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</si>
  <si>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</si>
  <si>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</si>
  <si>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</si>
  <si>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</si>
  <si>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</si>
  <si>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</si>
  <si>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</si>
  <si>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</si>
  <si>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</si>
  <si>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</si>
  <si>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</si>
  <si>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</si>
  <si>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</si>
  <si>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</si>
  <si>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</si>
  <si>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</si>
  <si>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</si>
  <si>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</si>
  <si>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</si>
  <si>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</si>
  <si>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</si>
  <si>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</si>
  <si>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</si>
  <si>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</si>
  <si>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</si>
  <si>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</si>
  <si>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</si>
  <si>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</si>
  <si>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</si>
  <si>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</si>
  <si>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</si>
  <si>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</si>
  <si>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</si>
  <si>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</si>
  <si>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</si>
  <si>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</si>
  <si>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</si>
  <si>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</si>
  <si>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</si>
  <si>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</si>
  <si>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</si>
  <si>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</si>
  <si>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</si>
  <si>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</si>
  <si>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</si>
  <si>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</si>
  <si>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</si>
  <si>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</si>
  <si>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</si>
  <si>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</si>
  <si>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</si>
  <si>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</si>
  <si>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</si>
  <si>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</si>
  <si>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</si>
  <si>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</si>
  <si>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</si>
  <si>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</si>
  <si>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</si>
  <si>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</si>
  <si>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</si>
  <si>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</si>
  <si>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</si>
  <si>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</si>
  <si>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</si>
  <si>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</si>
  <si>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</si>
  <si>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</si>
  <si>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</si>
  <si>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</si>
  <si>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</si>
  <si>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</si>
  <si>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</si>
  <si>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</si>
  <si>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</si>
  <si>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</si>
  <si>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</si>
  <si>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</si>
  <si>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</si>
  <si>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</si>
  <si>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</si>
  <si>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</si>
  <si>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</si>
  <si>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</si>
  <si>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</si>
  <si>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</si>
  <si>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</si>
  <si>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</si>
  <si>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</si>
  <si>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</si>
  <si>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</si>
  <si>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</si>
  <si>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</si>
  <si>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</si>
  <si>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</si>
  <si>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</si>
  <si>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</si>
  <si>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</si>
  <si>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</si>
  <si>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</si>
  <si>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</si>
  <si>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</si>
  <si>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</si>
  <si>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</si>
  <si>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</si>
  <si>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</si>
  <si>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</si>
  <si>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</si>
  <si>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</si>
  <si>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</si>
  <si>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</si>
  <si>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</si>
  <si>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</si>
  <si>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</si>
  <si>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</si>
  <si>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</si>
  <si>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</si>
  <si>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</si>
  <si>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</si>
  <si>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</si>
  <si>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</si>
  <si>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</si>
  <si>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</si>
  <si>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</si>
  <si>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</si>
  <si>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</si>
  <si>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</si>
  <si>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</si>
  <si>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</si>
  <si>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</si>
  <si>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</si>
  <si>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</si>
  <si>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</si>
  <si>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</si>
  <si>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</si>
  <si>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</si>
  <si>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</si>
  <si>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</si>
  <si>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</si>
  <si>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</si>
  <si>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</si>
  <si>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</si>
  <si>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</si>
  <si>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</si>
  <si>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</si>
  <si>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</si>
  <si>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</si>
  <si>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</si>
  <si>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</si>
  <si>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</si>
  <si>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</si>
  <si>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</si>
  <si>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</si>
  <si>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</si>
  <si>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</si>
  <si>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</si>
  <si>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</si>
  <si>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</si>
  <si>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</si>
  <si>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</si>
  <si>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</si>
  <si>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</si>
  <si>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</si>
  <si>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</si>
  <si>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</si>
  <si>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</si>
  <si>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</si>
  <si>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</si>
  <si>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</si>
  <si>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</si>
  <si>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</si>
  <si>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</si>
  <si>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</si>
  <si>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</si>
  <si>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</si>
  <si>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</si>
  <si>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</si>
  <si>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</si>
  <si>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</si>
  <si>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</si>
  <si>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</si>
  <si>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</si>
  <si>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</si>
  <si>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</si>
  <si>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</si>
  <si>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</si>
  <si>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</si>
  <si>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</si>
  <si>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</si>
  <si>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</si>
  <si>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</si>
  <si>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</si>
  <si>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</si>
  <si>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</si>
  <si>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</si>
  <si>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</si>
  <si>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</si>
  <si>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</si>
  <si>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</si>
  <si>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</si>
  <si>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</si>
  <si>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</si>
  <si>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</si>
  <si>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</si>
  <si>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</si>
  <si>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</si>
  <si>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</si>
  <si>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</si>
  <si>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</si>
  <si>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</si>
  <si>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</si>
  <si>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</si>
  <si>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</si>
  <si>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</si>
  <si>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</si>
  <si>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</si>
  <si>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</si>
  <si>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</si>
  <si>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</si>
  <si>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</si>
  <si>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</si>
  <si>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</si>
  <si>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</si>
  <si>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</si>
  <si>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</si>
  <si>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</si>
  <si>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</si>
  <si>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</si>
  <si>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</si>
  <si>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</si>
  <si>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</si>
  <si>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</si>
  <si>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</si>
  <si>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</si>
  <si>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</si>
  <si>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</si>
  <si>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</si>
  <si>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</si>
  <si>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</si>
  <si>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</si>
  <si>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</si>
  <si>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</si>
  <si>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</si>
  <si>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</si>
  <si>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</si>
  <si>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</si>
  <si>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</si>
  <si>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</si>
  <si>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</si>
  <si>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</si>
  <si>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</si>
  <si>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</si>
  <si>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</si>
  <si>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</si>
  <si>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</si>
  <si>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</si>
  <si>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</si>
  <si>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</si>
  <si>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</si>
  <si>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</si>
  <si>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</si>
  <si>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</si>
  <si>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</si>
  <si>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</si>
  <si>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</si>
  <si>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</si>
  <si>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</si>
  <si>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</si>
  <si>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</si>
  <si>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</si>
  <si>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</si>
  <si>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</si>
  <si>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</si>
  <si>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</si>
  <si>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</si>
  <si>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</si>
  <si>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</si>
  <si>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</si>
  <si>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</si>
  <si>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</si>
  <si>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</si>
  <si>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</si>
  <si>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</si>
  <si>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</si>
  <si>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</si>
  <si>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</si>
  <si>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</si>
  <si>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</si>
  <si>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</si>
  <si>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</si>
  <si>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</si>
  <si>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</si>
  <si>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</si>
  <si>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</si>
  <si>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</si>
  <si>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</si>
  <si>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</si>
  <si>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</si>
  <si>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</si>
  <si>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</si>
  <si>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</si>
  <si>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</si>
  <si>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</si>
  <si>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</si>
  <si>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</si>
  <si>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</si>
  <si>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</si>
  <si>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</si>
  <si>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</si>
  <si>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</si>
  <si>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</si>
  <si>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</si>
  <si>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</si>
  <si>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</si>
  <si>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</si>
  <si>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</si>
  <si>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</si>
  <si>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</si>
  <si>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</si>
  <si>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</si>
  <si>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</si>
  <si>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</si>
  <si>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</si>
  <si>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</si>
  <si>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</si>
  <si>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</si>
  <si>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</si>
  <si>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</si>
  <si>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</si>
  <si>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</si>
  <si>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</si>
  <si>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</si>
  <si>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</si>
  <si>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</si>
  <si>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</si>
  <si>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</si>
  <si>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</si>
  <si>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</si>
  <si>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</si>
  <si>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</si>
  <si>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</si>
  <si>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</si>
  <si>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</si>
  <si>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</si>
  <si>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</si>
  <si>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</si>
  <si>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</si>
  <si>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</si>
  <si>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</si>
  <si>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</si>
  <si>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</si>
  <si>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</si>
  <si>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</si>
  <si>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</si>
  <si>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</si>
  <si>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</si>
  <si>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</si>
  <si>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</si>
  <si>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</si>
  <si>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</si>
  <si>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</si>
  <si>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</si>
  <si>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</si>
  <si>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</si>
  <si>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</si>
  <si>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</si>
  <si>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</si>
  <si>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</si>
  <si>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</si>
  <si>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</si>
  <si>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</si>
  <si>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</si>
  <si>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</si>
  <si>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</si>
  <si>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</si>
  <si>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</si>
  <si>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</si>
  <si>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</si>
  <si>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</si>
  <si>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</si>
  <si>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</si>
  <si>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</si>
  <si>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</si>
  <si>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</si>
  <si>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</si>
  <si>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</si>
  <si>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</si>
  <si>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</si>
  <si>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</si>
  <si>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</si>
  <si>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</si>
  <si>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</si>
  <si>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</si>
  <si>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</si>
  <si>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</si>
  <si>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</si>
  <si>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</si>
  <si>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</si>
  <si>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</si>
  <si>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</si>
  <si>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</si>
  <si>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</si>
  <si>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</si>
  <si>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</si>
  <si>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</si>
  <si>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</si>
  <si>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</si>
  <si>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</si>
  <si>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</si>
  <si>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</si>
  <si>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</si>
  <si>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</si>
  <si>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</si>
  <si>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</si>
  <si>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</si>
  <si>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</si>
  <si>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</si>
  <si>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</si>
  <si>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</si>
  <si>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</si>
  <si>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</si>
  <si>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</si>
  <si>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</si>
  <si>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</si>
  <si>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</si>
  <si>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</si>
  <si>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</si>
  <si>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</si>
  <si>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</si>
  <si>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</si>
  <si>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</si>
  <si>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</si>
  <si>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</si>
  <si>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</si>
  <si>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</si>
  <si>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</si>
  <si>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</si>
  <si>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</si>
  <si>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</si>
  <si>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</si>
  <si>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</si>
  <si>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</si>
  <si>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</si>
  <si>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</si>
  <si>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</si>
  <si>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</si>
  <si>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</si>
  <si>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</si>
  <si>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</si>
  <si>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</si>
  <si>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</si>
  <si>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</si>
  <si>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</si>
  <si>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</si>
  <si>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</si>
  <si>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</si>
  <si>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</si>
  <si>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</si>
  <si>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</si>
  <si>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</si>
  <si>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</si>
  <si>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</si>
  <si>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</si>
  <si>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</si>
  <si>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</si>
  <si>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</si>
  <si>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</si>
  <si>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</si>
  <si>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</si>
  <si>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</si>
  <si>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</si>
  <si>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</si>
  <si>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</si>
  <si>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</si>
  <si>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</si>
  <si>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</si>
  <si>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</si>
  <si>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</si>
  <si>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</si>
  <si>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</si>
  <si>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</si>
  <si>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</si>
  <si>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</si>
  <si>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</si>
  <si>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</si>
  <si>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</si>
  <si>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</si>
  <si>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</si>
  <si>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</si>
  <si>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</si>
  <si>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</si>
  <si>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</si>
  <si>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</si>
  <si>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</si>
  <si>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</si>
  <si>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</si>
  <si>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</si>
  <si>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</si>
  <si>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</si>
  <si>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</si>
  <si>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</si>
  <si>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</si>
  <si>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</si>
  <si>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</si>
  <si>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</si>
  <si>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</si>
  <si>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</si>
  <si>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</si>
  <si>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</si>
  <si>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</si>
  <si>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</si>
  <si>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</si>
  <si>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</si>
  <si>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</si>
  <si>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</si>
  <si>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</si>
  <si>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</si>
  <si>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</si>
  <si>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</si>
  <si>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</si>
  <si>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</si>
  <si>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</si>
  <si>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</si>
  <si>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</si>
  <si>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</si>
  <si>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</si>
  <si>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</si>
  <si>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</si>
  <si>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</si>
  <si>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</si>
  <si>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</si>
  <si>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</si>
  <si>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</si>
  <si>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</si>
  <si>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</si>
  <si>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</si>
  <si>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</si>
  <si>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</si>
  <si>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</si>
  <si>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</si>
  <si>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</si>
  <si>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</si>
  <si>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</si>
  <si>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</si>
  <si>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</si>
  <si>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</si>
  <si>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</si>
  <si>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</si>
  <si>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</si>
  <si>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</si>
  <si>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</si>
  <si>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</si>
  <si>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</si>
  <si>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</si>
  <si>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</si>
  <si>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</si>
  <si>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</si>
  <si>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</si>
  <si>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</si>
  <si>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</si>
  <si>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</si>
  <si>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</si>
  <si>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</si>
  <si>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</si>
  <si>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</si>
  <si>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</si>
  <si>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</si>
  <si>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</si>
  <si>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</si>
  <si>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</si>
  <si>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</si>
  <si>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</si>
  <si>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</si>
  <si>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</si>
  <si>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</si>
  <si>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</si>
  <si>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</si>
  <si>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</si>
  <si>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</si>
  <si>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</si>
  <si>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</si>
  <si>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</si>
  <si>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</si>
  <si>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</si>
  <si>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</si>
  <si>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</si>
  <si>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</si>
  <si>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</si>
  <si>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</si>
  <si>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</si>
  <si>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</si>
  <si>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</si>
  <si>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</si>
  <si>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</si>
  <si>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</si>
  <si>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</si>
  <si>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</si>
  <si>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</si>
  <si>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</si>
  <si>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</si>
  <si>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</si>
  <si>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</si>
  <si>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</si>
  <si>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</si>
  <si>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</si>
  <si>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</si>
  <si>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</si>
  <si>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</si>
  <si>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</si>
  <si>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</si>
  <si>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</si>
  <si>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</si>
  <si>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</si>
  <si>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</si>
  <si>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</si>
  <si>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</si>
  <si>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</si>
  <si>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</si>
  <si>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</si>
  <si>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</si>
  <si>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</si>
  <si>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</si>
  <si>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</si>
  <si>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</si>
  <si>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</si>
  <si>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</si>
  <si>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</si>
  <si>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</si>
  <si>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</si>
  <si>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</si>
  <si>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</si>
  <si>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</si>
  <si>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</si>
  <si>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</si>
  <si>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</si>
  <si>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</si>
  <si>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</si>
  <si>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</si>
  <si>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</si>
  <si>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</si>
  <si>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</si>
  <si>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</si>
  <si>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</si>
  <si>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</si>
  <si>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</si>
  <si>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</si>
  <si>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</si>
  <si>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</si>
  <si>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</si>
  <si>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</si>
  <si>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</si>
  <si>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</si>
  <si>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</si>
  <si>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</si>
  <si>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</si>
  <si>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</si>
  <si>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</si>
  <si>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</si>
  <si>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</si>
  <si>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</si>
  <si>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</si>
  <si>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</si>
  <si>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</si>
  <si>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</si>
  <si>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</si>
  <si>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</si>
  <si>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</si>
  <si>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</si>
  <si>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</si>
  <si>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</si>
  <si>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</si>
  <si>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</si>
  <si>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</si>
  <si>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</si>
  <si>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</si>
  <si>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</si>
  <si>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</si>
  <si>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</si>
  <si>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</si>
  <si>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</si>
  <si>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</si>
  <si>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</si>
  <si>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</si>
  <si>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</si>
  <si>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</si>
  <si>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</si>
  <si>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</si>
  <si>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</si>
  <si>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</si>
  <si>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</si>
  <si>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</si>
  <si>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</si>
  <si>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</si>
  <si>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</si>
  <si>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</si>
  <si>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</si>
  <si>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</si>
  <si>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</si>
  <si>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</si>
  <si>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</si>
  <si>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</si>
  <si>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</si>
  <si>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</si>
  <si>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</si>
  <si>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</si>
  <si>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</si>
  <si>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</si>
  <si>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</si>
  <si>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</si>
  <si>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</si>
  <si>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</si>
  <si>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</si>
  <si>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</si>
  <si>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</si>
  <si>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</si>
  <si>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</si>
  <si>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</si>
  <si>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</si>
  <si>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</si>
  <si>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</si>
  <si>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</si>
  <si>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</si>
  <si>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</si>
  <si>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</si>
  <si>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</si>
  <si>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</si>
  <si>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</si>
  <si>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</si>
  <si>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</si>
  <si>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</si>
  <si>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</si>
  <si>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</si>
  <si>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</si>
  <si>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</si>
  <si>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</si>
  <si>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</si>
  <si>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</si>
  <si>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</si>
  <si>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</si>
  <si>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</si>
  <si>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</si>
  <si>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</si>
  <si>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</si>
  <si>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</si>
  <si>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</si>
  <si>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</si>
  <si>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</si>
  <si>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</si>
  <si>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</si>
  <si>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</si>
  <si>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</si>
  <si>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</si>
  <si>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</si>
  <si>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</si>
  <si>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</si>
  <si>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</si>
  <si>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</si>
  <si>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</si>
  <si>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</si>
  <si>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</si>
  <si>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</si>
  <si>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</si>
  <si>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</si>
  <si>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</si>
  <si>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</si>
  <si>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</si>
  <si>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</si>
  <si>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</si>
  <si>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</si>
  <si>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</si>
  <si>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</si>
  <si>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</si>
  <si>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</si>
  <si>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</si>
  <si>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</si>
  <si>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</si>
  <si>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</si>
  <si>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</si>
  <si>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</si>
  <si>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</si>
  <si>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</si>
  <si>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</si>
  <si>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</si>
  <si>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</si>
  <si>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</si>
  <si>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</si>
  <si>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</si>
  <si>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</si>
  <si>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</si>
  <si>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</si>
  <si>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</si>
  <si>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</si>
  <si>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</si>
  <si>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</si>
  <si>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</si>
  <si>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</si>
  <si>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</si>
  <si>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</si>
  <si>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</si>
  <si>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</si>
  <si>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</si>
  <si>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</si>
  <si>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</si>
  <si>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</si>
  <si>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</si>
  <si>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</si>
  <si>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</si>
  <si>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</si>
  <si>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</si>
  <si>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</si>
  <si>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</si>
  <si>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</si>
  <si>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</si>
  <si>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</si>
  <si>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</si>
  <si>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</si>
  <si>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</si>
  <si>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</si>
  <si>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</si>
  <si>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</si>
  <si>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</si>
  <si>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</si>
  <si>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</si>
  <si>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</si>
  <si>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</si>
  <si>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</si>
  <si>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</si>
  <si>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</si>
  <si>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</si>
  <si>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</si>
  <si>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</si>
  <si>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</si>
  <si>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</si>
  <si>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</si>
  <si>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</si>
  <si>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</si>
  <si>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</si>
  <si>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</si>
  <si>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</si>
  <si>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</si>
  <si>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</si>
  <si>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</si>
  <si>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</si>
  <si>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</si>
  <si>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</si>
  <si>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</si>
  <si>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</si>
  <si>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</si>
  <si>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</si>
  <si>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</si>
  <si>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</si>
  <si>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</si>
  <si>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</si>
  <si>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</si>
  <si>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</si>
  <si>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</si>
  <si>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</si>
  <si>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</si>
  <si>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</si>
  <si>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</si>
  <si>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</si>
  <si>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</si>
  <si>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</si>
  <si>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</si>
  <si>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</si>
  <si>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</si>
  <si>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</si>
  <si>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</si>
  <si>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</si>
  <si>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</si>
  <si>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</si>
  <si>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</si>
  <si>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</si>
  <si>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</si>
  <si>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</si>
  <si>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</si>
  <si>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</si>
  <si>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</si>
  <si>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</si>
  <si>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</si>
  <si>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</si>
  <si>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</si>
  <si>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</si>
  <si>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</si>
  <si>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</si>
  <si>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</si>
  <si>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</si>
  <si>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</si>
  <si>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</si>
  <si>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</si>
  <si>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</si>
  <si>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</si>
  <si>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</si>
  <si>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</si>
  <si>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</si>
  <si>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</si>
  <si>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</si>
  <si>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</si>
  <si>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</si>
  <si>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</si>
  <si>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</si>
  <si>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</si>
  <si>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</si>
  <si>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</si>
  <si>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</si>
  <si>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</si>
  <si>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</si>
  <si>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</si>
  <si>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</si>
  <si>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</si>
  <si>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</si>
  <si>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</si>
  <si>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</si>
  <si>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</si>
  <si>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</si>
  <si>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</si>
  <si>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</si>
  <si>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</si>
  <si>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</si>
  <si>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</si>
  <si>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</si>
  <si>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</si>
  <si>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</si>
  <si>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</si>
  <si>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</si>
  <si>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</si>
  <si>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</si>
  <si>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</si>
  <si>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</si>
  <si>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</si>
  <si>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</si>
  <si>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</si>
  <si>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</si>
  <si>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</si>
  <si>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</si>
  <si>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</si>
  <si>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</si>
  <si>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</si>
  <si>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</si>
  <si>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</si>
  <si>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</si>
  <si>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</si>
  <si>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</si>
  <si>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</si>
  <si>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</si>
  <si>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</si>
  <si>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</si>
  <si>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</si>
  <si>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</si>
  <si>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</si>
  <si>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</si>
  <si>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</si>
  <si>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</si>
  <si>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</si>
  <si>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</si>
  <si>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</si>
  <si>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</si>
  <si>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</si>
  <si>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</si>
  <si>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</si>
  <si>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</si>
  <si>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</si>
  <si>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</si>
  <si>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</si>
  <si>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</si>
  <si>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</si>
  <si>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</si>
  <si>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</si>
  <si>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</si>
  <si>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</si>
  <si>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</si>
  <si>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</si>
  <si>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</si>
  <si>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</si>
  <si>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</si>
  <si>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</si>
  <si>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</si>
  <si>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</si>
  <si>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</si>
  <si>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</si>
  <si>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</si>
  <si>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</si>
  <si>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</si>
  <si>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</si>
  <si>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</si>
  <si>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</si>
  <si>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</si>
  <si>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</si>
  <si>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</si>
  <si>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</si>
  <si>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</si>
  <si>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</si>
  <si>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</si>
  <si>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</si>
  <si>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</si>
  <si>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</si>
  <si>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</si>
  <si>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</si>
  <si>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</si>
  <si>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</si>
  <si>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</si>
  <si>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</si>
  <si>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</si>
  <si>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</si>
  <si>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</si>
  <si>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</si>
  <si>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</si>
  <si>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</si>
  <si>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</si>
  <si>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</si>
  <si>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</si>
  <si>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</si>
  <si>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</si>
  <si>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</si>
  <si>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</si>
  <si>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</si>
  <si>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</si>
  <si>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</si>
  <si>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</si>
  <si>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</si>
  <si>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</si>
  <si>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</si>
  <si>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</si>
  <si>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</si>
  <si>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</si>
  <si>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</si>
  <si>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</si>
  <si>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</si>
  <si>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</si>
  <si>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</si>
  <si>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</si>
  <si>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</si>
  <si>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</si>
  <si>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</si>
  <si>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</si>
  <si>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</si>
  <si>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</si>
  <si>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</si>
  <si>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</si>
  <si>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</si>
  <si>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</si>
  <si>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</si>
  <si>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</si>
  <si>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</si>
  <si>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</si>
  <si>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</si>
  <si>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</si>
  <si>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</si>
  <si>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</si>
  <si>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</si>
  <si>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</si>
  <si>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</si>
  <si>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</si>
  <si>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</si>
  <si>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</si>
  <si>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</si>
  <si>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</si>
  <si>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</si>
  <si>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</si>
  <si>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</si>
  <si>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</si>
  <si>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</si>
  <si>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</si>
  <si>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</si>
  <si>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</si>
  <si>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</si>
  <si>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</si>
  <si>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</si>
  <si>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</si>
  <si>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</si>
  <si>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</si>
  <si>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</si>
  <si>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</si>
  <si>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</si>
  <si>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</si>
  <si>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</si>
  <si>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</si>
  <si>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</si>
  <si>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</si>
  <si>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</si>
  <si>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</si>
  <si>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</si>
  <si>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</si>
  <si>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</si>
  <si>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</si>
  <si>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</si>
  <si>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</si>
  <si>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</si>
  <si>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</si>
  <si>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</si>
  <si>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</si>
  <si>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</si>
  <si>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</si>
  <si>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</si>
  <si>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</si>
  <si>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</si>
  <si>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</si>
  <si>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</si>
  <si>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</si>
  <si>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</si>
  <si>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</si>
  <si>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</si>
  <si>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</si>
  <si>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</si>
  <si>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</si>
  <si>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</si>
  <si>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</si>
  <si>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</si>
  <si>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</si>
  <si>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</si>
  <si>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</si>
  <si>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</si>
  <si>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</si>
  <si>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</si>
  <si>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</si>
  <si>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</si>
  <si>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</si>
  <si>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</si>
  <si>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</si>
  <si>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</si>
  <si>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</si>
  <si>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</si>
  <si>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</si>
  <si>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</si>
  <si>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</si>
  <si>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</si>
  <si>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</si>
  <si>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</si>
  <si>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</si>
  <si>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</si>
  <si>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</si>
  <si>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</si>
  <si>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</si>
  <si>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</si>
  <si>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</si>
  <si>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</si>
  <si>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</si>
  <si>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</si>
  <si>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</si>
  <si>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</si>
  <si>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</si>
  <si>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</si>
  <si>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</si>
  <si>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</si>
  <si>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</si>
  <si>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</si>
  <si>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</si>
  <si>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</si>
  <si>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</si>
  <si>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</si>
  <si>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</si>
  <si>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</si>
  <si>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</si>
  <si>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</si>
  <si>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</si>
  <si>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</si>
  <si>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</si>
  <si>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</si>
  <si>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</si>
  <si>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</si>
  <si>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</si>
  <si>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</si>
  <si>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</si>
  <si>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</si>
  <si>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</si>
  <si>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</si>
  <si>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</si>
  <si>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</si>
  <si>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</si>
  <si>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</si>
  <si>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</si>
  <si>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</si>
  <si>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</si>
  <si>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</si>
  <si>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</si>
  <si>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</si>
  <si>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</si>
  <si>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</si>
  <si>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</si>
  <si>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</si>
  <si>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</si>
  <si>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</si>
  <si>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</si>
  <si>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</si>
  <si>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</si>
  <si>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</si>
  <si>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</si>
  <si>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</si>
  <si>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</si>
  <si>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</si>
  <si>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</si>
  <si>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</si>
  <si>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</si>
  <si>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</si>
  <si>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</si>
  <si>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</si>
  <si>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</si>
  <si>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</si>
  <si>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</si>
  <si>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</si>
  <si>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</si>
  <si>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</si>
  <si>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</si>
  <si>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</si>
  <si>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</si>
  <si>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</si>
  <si>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</si>
  <si>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</si>
  <si>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</si>
  <si>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</si>
  <si>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</si>
  <si>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</si>
  <si>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</si>
  <si>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</si>
  <si>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</si>
  <si>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</si>
  <si>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</si>
  <si>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</si>
  <si>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</si>
  <si>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</si>
  <si>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</si>
  <si>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</si>
  <si>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</si>
  <si>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</si>
  <si>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</si>
  <si>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</si>
  <si>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</si>
  <si>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</si>
  <si>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</si>
  <si>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</si>
  <si>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</si>
  <si>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</si>
  <si>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</si>
  <si>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</si>
  <si>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</si>
  <si>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</si>
  <si>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</si>
  <si>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</si>
  <si>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</si>
  <si>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</si>
  <si>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</si>
  <si>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</si>
  <si>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</si>
  <si>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</si>
  <si>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</si>
  <si>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</si>
  <si>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</si>
  <si>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</si>
  <si>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</si>
  <si>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</si>
  <si>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</si>
  <si>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</si>
  <si>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</si>
  <si>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</si>
  <si>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</si>
  <si>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</si>
  <si>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</si>
  <si>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</si>
  <si>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</si>
  <si>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</si>
  <si>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</si>
  <si>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</si>
  <si>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</si>
  <si>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</si>
  <si>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</si>
  <si>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</si>
  <si>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</si>
  <si>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</si>
  <si>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</si>
  <si>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</si>
  <si>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</si>
  <si>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</si>
  <si>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</si>
  <si>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</si>
  <si>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</si>
  <si>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</si>
  <si>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</si>
  <si>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</si>
  <si>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</si>
  <si>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</si>
  <si>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</si>
  <si>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</si>
  <si>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</si>
  <si>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</si>
  <si>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</si>
  <si>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</si>
  <si>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</si>
  <si>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</si>
  <si>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</si>
  <si>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</si>
  <si>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</si>
  <si>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</si>
  <si>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</si>
  <si>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</si>
  <si>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</si>
  <si>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</si>
  <si>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</si>
  <si>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</si>
  <si>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</si>
  <si>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</si>
  <si>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</si>
  <si>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</si>
  <si>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</si>
  <si>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</si>
  <si>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</si>
  <si>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</si>
  <si>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</si>
  <si>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</si>
  <si>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</si>
  <si>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</si>
  <si>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</si>
  <si>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</si>
  <si>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</si>
  <si>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</si>
  <si>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</si>
  <si>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</si>
  <si>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</si>
  <si>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</si>
  <si>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</si>
  <si>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</si>
  <si>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</si>
  <si>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</si>
  <si>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</si>
  <si>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</si>
  <si>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</si>
  <si>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</si>
  <si>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</si>
  <si>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</si>
  <si>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</si>
  <si>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</si>
  <si>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</si>
  <si>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</si>
  <si>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</si>
  <si>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</si>
  <si>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</si>
  <si>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</si>
  <si>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</si>
  <si>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</si>
  <si>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</si>
  <si>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</si>
  <si>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</si>
  <si>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</si>
  <si>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</si>
  <si>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</si>
  <si>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</si>
  <si>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</si>
  <si>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</si>
  <si>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</si>
  <si>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</si>
  <si>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</si>
  <si>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</si>
  <si>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</si>
  <si>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</si>
  <si>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</si>
  <si>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</si>
  <si>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</si>
  <si>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</si>
  <si>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</si>
  <si>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</si>
  <si>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</si>
  <si>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</si>
  <si>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</si>
  <si>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</si>
  <si>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</si>
  <si>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</si>
  <si>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</si>
  <si>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</si>
  <si>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</si>
  <si>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</si>
  <si>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</si>
  <si>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</si>
  <si>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</si>
  <si>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</si>
  <si>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</si>
  <si>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</si>
  <si>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</si>
  <si>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</si>
  <si>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</si>
  <si>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</si>
  <si>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</si>
  <si>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</si>
  <si>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</si>
  <si>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</si>
  <si>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</si>
  <si>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</si>
  <si>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</si>
  <si>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</si>
  <si>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</si>
  <si>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</si>
  <si>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</si>
  <si>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</si>
  <si>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</si>
  <si>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</si>
  <si>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</si>
  <si>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</si>
  <si>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</si>
  <si>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</si>
  <si>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</si>
  <si>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</si>
  <si>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</si>
  <si>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</si>
  <si>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</si>
  <si>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</si>
  <si>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</si>
  <si>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</si>
  <si>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</si>
  <si>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</si>
  <si>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</si>
  <si>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</si>
  <si>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</si>
  <si>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</si>
  <si>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</si>
  <si>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</si>
  <si>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</si>
  <si>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</si>
  <si>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</si>
  <si>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</si>
  <si>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</si>
  <si>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</si>
  <si>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</si>
  <si>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</si>
  <si>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</si>
  <si>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</si>
  <si>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</si>
  <si>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</si>
  <si>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</si>
  <si>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</si>
  <si>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</si>
  <si>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</si>
  <si>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</si>
  <si>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</si>
  <si>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</si>
  <si>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</si>
  <si>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</si>
  <si>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</si>
  <si>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</si>
  <si>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</si>
  <si>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</si>
  <si>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</si>
  <si>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</si>
  <si>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</si>
  <si>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</si>
  <si>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</si>
  <si>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</si>
  <si>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</si>
  <si>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</si>
  <si>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</si>
  <si>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</si>
  <si>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</si>
  <si>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</si>
  <si>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</si>
  <si>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</si>
  <si>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</si>
  <si>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</si>
  <si>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</si>
  <si>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</si>
  <si>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</si>
  <si>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31/4/97</t>
  </si>
  <si>
    <t>10/11/1397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</si>
  <si>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</si>
  <si>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</si>
  <si>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</si>
  <si>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</si>
  <si>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</si>
  <si>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</si>
  <si>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</si>
  <si>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2922 تا 502</t>
  </si>
  <si>
    <t>نسبت سکه به سهام</t>
  </si>
  <si>
    <t>14/11/1397</t>
  </si>
  <si>
    <t>شاراک 9081 تا 481.7</t>
  </si>
  <si>
    <t>فروش 1 عدد سکه</t>
  </si>
  <si>
    <t>15/11/1397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</si>
  <si>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</si>
  <si>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</si>
  <si>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</si>
  <si>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</si>
  <si>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</si>
  <si>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</si>
  <si>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</si>
  <si>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</si>
  <si>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</si>
  <si>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</si>
  <si>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</si>
  <si>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</si>
  <si>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</si>
  <si>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</si>
  <si>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</si>
  <si>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</si>
  <si>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</si>
  <si>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</si>
  <si>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</si>
  <si>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</si>
  <si>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</si>
  <si>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</si>
  <si>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</si>
  <si>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</si>
  <si>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</si>
  <si>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</si>
  <si>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</si>
  <si>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</si>
  <si>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</si>
  <si>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</si>
  <si>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</si>
  <si>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</si>
  <si>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</si>
  <si>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</si>
  <si>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</si>
  <si>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وغدیر 9222 تا 168.8</t>
  </si>
  <si>
    <t>فروش 5 عدد سکه بورس مریم</t>
  </si>
  <si>
    <t>30/11/1397</t>
  </si>
  <si>
    <t>فروش شاراک و خرید پارس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</si>
  <si>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</si>
  <si>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</si>
  <si>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</si>
  <si>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</si>
  <si>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</si>
  <si>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</si>
  <si>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</si>
  <si>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</si>
  <si>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</si>
  <si>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</si>
  <si>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</si>
  <si>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</si>
  <si>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</si>
  <si>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</si>
  <si>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</si>
  <si>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</si>
  <si>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شاراک 29379 تا 525.1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</si>
  <si>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</si>
  <si>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</si>
  <si>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</si>
  <si>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</si>
  <si>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</si>
  <si>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</si>
  <si>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</si>
  <si>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</si>
  <si>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</si>
  <si>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</si>
  <si>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سهم علی انبارداری سکه های فروخته شده  5/12</t>
  </si>
  <si>
    <t>7/12/1397</t>
  </si>
  <si>
    <t>ارزش</t>
  </si>
  <si>
    <t>اعتبار از کارگزاری</t>
  </si>
  <si>
    <t>زاگرس 4683 تا 5249.5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</si>
  <si>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</si>
  <si>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</si>
  <si>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</si>
  <si>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</si>
  <si>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</si>
  <si>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</si>
  <si>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</si>
  <si>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</si>
  <si>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</si>
  <si>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</si>
  <si>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</si>
  <si>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</si>
  <si>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</si>
  <si>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</si>
  <si>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</si>
  <si>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</si>
  <si>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</si>
  <si>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</si>
  <si>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</si>
  <si>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</si>
  <si>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</si>
  <si>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</si>
  <si>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</si>
  <si>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</si>
  <si>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</si>
  <si>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</si>
  <si>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</si>
  <si>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</si>
  <si>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</si>
  <si>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</si>
  <si>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</si>
  <si>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</si>
  <si>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</si>
  <si>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</si>
  <si>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</si>
  <si>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</si>
  <si>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</si>
  <si>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</si>
  <si>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</si>
  <si>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</si>
  <si>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</si>
  <si>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</si>
  <si>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</si>
  <si>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</si>
  <si>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</si>
  <si>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</si>
  <si>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</si>
  <si>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</si>
  <si>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</si>
  <si>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</si>
  <si>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</si>
  <si>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</si>
  <si>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</si>
  <si>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</si>
  <si>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</si>
  <si>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</si>
  <si>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</si>
  <si>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</si>
  <si>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</si>
  <si>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</si>
  <si>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</si>
  <si>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</si>
  <si>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</si>
  <si>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</si>
  <si>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</si>
  <si>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</si>
  <si>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</si>
  <si>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</si>
  <si>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</si>
  <si>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</si>
  <si>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</si>
  <si>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</si>
  <si>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</si>
  <si>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</si>
  <si>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</si>
  <si>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</si>
  <si>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</si>
  <si>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</si>
  <si>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</si>
  <si>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</si>
  <si>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</si>
  <si>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</si>
  <si>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</si>
  <si>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</si>
  <si>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</si>
  <si>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</si>
  <si>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</si>
  <si>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</si>
  <si>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</si>
  <si>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</si>
  <si>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</si>
  <si>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</si>
  <si>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</si>
  <si>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</si>
  <si>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</si>
  <si>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</si>
  <si>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</si>
  <si>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</si>
  <si>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</si>
  <si>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</si>
  <si>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</si>
  <si>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گوشت 27/12 از کارت سارا</t>
  </si>
  <si>
    <t>خرید علی و 1.1 به حاجی</t>
  </si>
  <si>
    <t>سود ریشمک 2/6/98</t>
  </si>
  <si>
    <t>6/1/1398</t>
  </si>
  <si>
    <t>7/1/1398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</si>
  <si>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</si>
  <si>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</si>
  <si>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</si>
  <si>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</si>
  <si>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</si>
  <si>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</si>
  <si>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</si>
  <si>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</si>
  <si>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</si>
  <si>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</si>
  <si>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</si>
  <si>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</si>
  <si>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</si>
  <si>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</si>
  <si>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</si>
  <si>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زاگرس 1000 تا 6250.1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</si>
  <si>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</si>
  <si>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</si>
  <si>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</si>
  <si>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</si>
  <si>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</si>
  <si>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</si>
  <si>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</si>
  <si>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</si>
  <si>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</si>
  <si>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</si>
  <si>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</si>
  <si>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</si>
  <si>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</si>
  <si>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</si>
  <si>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</si>
  <si>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</si>
  <si>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زاگرس 4394 تا 6110.2</t>
  </si>
  <si>
    <t>وغدیر 33902 تا 180.6</t>
  </si>
  <si>
    <t>تعداد سکه باقیمانده (3 تا دست مریم، 5 تا دست سارا)</t>
  </si>
  <si>
    <t>نان و پنیر</t>
  </si>
  <si>
    <t>19/1/1398</t>
  </si>
  <si>
    <t>ریشمک 50 تا 1204.7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</si>
  <si>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</si>
  <si>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</si>
  <si>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</si>
  <si>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</si>
  <si>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</si>
  <si>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</si>
  <si>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</si>
  <si>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واریز 2520000 حساب علی</t>
  </si>
  <si>
    <t>واریز 1 میلیون حساب علی</t>
  </si>
  <si>
    <t>25/1/1398</t>
  </si>
  <si>
    <t>شاراک 259 تا 633</t>
  </si>
  <si>
    <t>شاراک 255 تا 632.8</t>
  </si>
  <si>
    <t>26/1/1398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</si>
  <si>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</si>
  <si>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</si>
  <si>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</si>
  <si>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</si>
  <si>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</si>
  <si>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</si>
  <si>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</si>
  <si>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</si>
  <si>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</si>
  <si>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</si>
  <si>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</si>
  <si>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</si>
  <si>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</si>
  <si>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</si>
  <si>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</si>
  <si>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</si>
  <si>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</si>
  <si>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</si>
  <si>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</si>
  <si>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</si>
  <si>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</si>
  <si>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</si>
  <si>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</si>
  <si>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</si>
  <si>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</si>
  <si>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</si>
  <si>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</si>
  <si>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</si>
  <si>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</si>
  <si>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</si>
  <si>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</si>
  <si>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</si>
  <si>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</si>
  <si>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</si>
  <si>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</si>
  <si>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</si>
  <si>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</si>
  <si>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</si>
  <si>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</si>
  <si>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</si>
  <si>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</si>
  <si>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</si>
  <si>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</si>
  <si>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</si>
  <si>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</si>
  <si>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</si>
  <si>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</si>
  <si>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</si>
  <si>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</si>
  <si>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</si>
  <si>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</si>
  <si>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</si>
  <si>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</si>
  <si>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</si>
  <si>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</si>
  <si>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</si>
  <si>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</si>
  <si>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</si>
  <si>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از حاجی 2 میلیون گفتم و 535 قسط انصار مریم دادم 10/2/98</t>
  </si>
  <si>
    <t>حاجی 2 میلیون را پس داد 322.213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</si>
  <si>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</si>
  <si>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</si>
  <si>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</si>
  <si>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</si>
  <si>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</si>
  <si>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</si>
  <si>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</si>
  <si>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سود زاگرس</t>
  </si>
  <si>
    <t xml:space="preserve">بدهی سارا به صندوق </t>
  </si>
  <si>
    <t>مبلغ 50 مییون به حساب مریم و 48.527480 سود زاگرس علی و 2.668880 سود زاگرس مریم</t>
  </si>
  <si>
    <t>وغدیر 75812 تا 197.1</t>
  </si>
  <si>
    <t>18/2/1398</t>
  </si>
  <si>
    <t>21/2/1398</t>
  </si>
  <si>
    <t>12/2/1398</t>
  </si>
  <si>
    <t>13/2/1398</t>
  </si>
  <si>
    <t>16/2/1398</t>
  </si>
  <si>
    <t>؟</t>
  </si>
  <si>
    <t>واریز 400000 تومن به حساب مریم</t>
  </si>
  <si>
    <t>وغدیر 43467 تا 192</t>
  </si>
  <si>
    <t>22/2/1398</t>
  </si>
  <si>
    <t>زاگرس 76 تا 4574</t>
  </si>
  <si>
    <t>بازگشایی زاگرس</t>
  </si>
  <si>
    <t>22/2/1399</t>
  </si>
  <si>
    <t>22/2/1400</t>
  </si>
  <si>
    <t>22/2/1401</t>
  </si>
  <si>
    <t>زاگرس 7422 تا 4730.9</t>
  </si>
  <si>
    <t>شاراک 4591 تا 671.9</t>
  </si>
  <si>
    <t>وغدیر 65547 تا 194.4</t>
  </si>
  <si>
    <t>23/2/1398</t>
  </si>
  <si>
    <t>بدهی به مهدی 23/2/1398</t>
  </si>
  <si>
    <t>24/2/1398</t>
  </si>
  <si>
    <t>25/2/1398</t>
  </si>
  <si>
    <t>سارا 2 میلیون واریز کرد که بخشی سود زاگرس بود</t>
  </si>
  <si>
    <t>واریز 2 میلیون حساب مریم</t>
  </si>
  <si>
    <t>28/2/1398</t>
  </si>
  <si>
    <t>وغدیر 526 تا 190.3</t>
  </si>
  <si>
    <t>واریز 100 هزار تومن حساب مریم</t>
  </si>
  <si>
    <t>29/2/1398</t>
  </si>
  <si>
    <t>30/2/1398</t>
  </si>
  <si>
    <t>وغدیر 31131 تا 196.2</t>
  </si>
  <si>
    <t>31/2/1398</t>
  </si>
  <si>
    <t>وغدیر 981438 تا  193.6</t>
  </si>
  <si>
    <t>وغدیر 1026179 تا 195.5</t>
  </si>
  <si>
    <t>واریز 2.1 میلیون حساب علی</t>
  </si>
  <si>
    <t>از ملت مریم به ملت علی 31/2/98</t>
  </si>
  <si>
    <t>بدهی</t>
  </si>
  <si>
    <t>پرداخت</t>
  </si>
  <si>
    <t>وغدیر 10640 تا 196.5</t>
  </si>
  <si>
    <t>1/3/1398</t>
  </si>
  <si>
    <t>زشریف</t>
  </si>
  <si>
    <t>زشریف 138 تا 420</t>
  </si>
  <si>
    <t>وغدیر 571 تا 197.7</t>
  </si>
  <si>
    <t>زشریف 128 تا 420</t>
  </si>
  <si>
    <t>وغدیر 658 تا 197.8</t>
  </si>
  <si>
    <t>واریز 100 هزار تومن حساب مریم و 100 هزار تومن حساب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</si>
</sst>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opLeftCell="E91" zoomScale="90" zoomScaleNormal="90" workbookViewId="0">
      <selection activeCell="U120" sqref="U120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17" max="17" width="16.71093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4434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4486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4540</v>
      </c>
      <c r="Y1" s="168" t="s">
        <v>950</v>
      </c>
      <c r="Z1" s="168" t="s">
        <v>937</v>
      </c>
      <c r="AA1" s="168" t="s">
        <v>4540</v>
      </c>
      <c r="AB1" s="168" t="s">
        <v>950</v>
      </c>
      <c r="AC1" s="168" t="s">
        <v>937</v>
      </c>
      <c r="AD1" s="168" t="s">
        <v>4640</v>
      </c>
      <c r="AE1" s="168" t="s">
        <v>4641</v>
      </c>
      <c r="AF1" s="99" t="s">
        <v>8</v>
      </c>
    </row>
    <row r="2" spans="1:32">
      <c r="A2" s="99" t="s">
        <v>4243</v>
      </c>
      <c r="B2" s="204">
        <v>1707</v>
      </c>
      <c r="C2" s="205" t="s">
        <v>4611</v>
      </c>
      <c r="D2" s="99" t="s">
        <v>4501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4531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4585</v>
      </c>
      <c r="B3" s="204">
        <v>1184</v>
      </c>
      <c r="C3" s="205" t="s">
        <v>4591</v>
      </c>
      <c r="D3" s="99"/>
      <c r="J3" s="168">
        <v>2</v>
      </c>
      <c r="K3" s="168" t="s">
        <v>4497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4530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4586</v>
      </c>
      <c r="B4" s="204">
        <v>1804</v>
      </c>
      <c r="C4" s="205" t="s">
        <v>4592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4532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0">
        <v>4</v>
      </c>
      <c r="K5" s="220" t="s">
        <v>4617</v>
      </c>
      <c r="L5" s="221">
        <v>0</v>
      </c>
      <c r="M5" s="220">
        <v>3</v>
      </c>
      <c r="N5" s="221">
        <f t="shared" ref="N5" si="3">L5*M5</f>
        <v>0</v>
      </c>
      <c r="O5" s="222" t="s">
        <v>4621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4501</v>
      </c>
      <c r="F6" t="s">
        <v>25</v>
      </c>
      <c r="G6" s="96"/>
      <c r="H6" s="96"/>
      <c r="I6" s="96"/>
      <c r="J6" s="168">
        <v>5</v>
      </c>
      <c r="K6" s="168" t="s">
        <v>4622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4626</v>
      </c>
      <c r="X6" s="168" t="s">
        <v>1086</v>
      </c>
      <c r="Y6" s="113">
        <v>4183832</v>
      </c>
      <c r="Z6" s="168">
        <f>AB6*AC6/Y6</f>
        <v>2.132843288162622</v>
      </c>
      <c r="AA6" s="192" t="s">
        <v>4390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4563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4626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4626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4627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4537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4626</v>
      </c>
      <c r="X8" s="168" t="s">
        <v>1086</v>
      </c>
      <c r="Y8" s="113">
        <v>4183832</v>
      </c>
      <c r="Z8" s="168">
        <f t="shared" si="4"/>
        <v>3.2966189847011065</v>
      </c>
      <c r="AA8" s="210" t="s">
        <v>4536</v>
      </c>
      <c r="AB8" s="113">
        <v>4500</v>
      </c>
      <c r="AC8" s="168">
        <v>3065</v>
      </c>
      <c r="AD8" s="210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4579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4631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4390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4409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4633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4631</v>
      </c>
      <c r="X10" s="168" t="s">
        <v>1086</v>
      </c>
      <c r="Y10" s="113">
        <v>4186993</v>
      </c>
      <c r="Z10" s="168">
        <f t="shared" si="4"/>
        <v>3.0092622557525175</v>
      </c>
      <c r="AA10" s="217" t="s">
        <v>4394</v>
      </c>
      <c r="AB10" s="113">
        <v>5249.9</v>
      </c>
      <c r="AC10" s="168">
        <v>2400</v>
      </c>
      <c r="AD10" s="217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4633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4633</v>
      </c>
      <c r="X11" s="168" t="s">
        <v>1086</v>
      </c>
      <c r="Y11" s="113">
        <v>4223698</v>
      </c>
      <c r="Z11" s="168">
        <f t="shared" si="4"/>
        <v>11.463347995050782</v>
      </c>
      <c r="AA11" s="217" t="s">
        <v>4394</v>
      </c>
      <c r="AB11" s="113">
        <v>5330</v>
      </c>
      <c r="AC11" s="168">
        <v>9084</v>
      </c>
      <c r="AD11" s="217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4556</v>
      </c>
      <c r="B12" s="204">
        <v>3965312</v>
      </c>
      <c r="C12" s="169"/>
      <c r="D12" s="59" t="s">
        <v>4907</v>
      </c>
      <c r="F12" s="114">
        <v>0</v>
      </c>
      <c r="J12" s="168">
        <v>11</v>
      </c>
      <c r="K12" s="168" t="s">
        <v>4660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4633</v>
      </c>
      <c r="X12" s="168" t="s">
        <v>1086</v>
      </c>
      <c r="Y12" s="113">
        <v>4223698</v>
      </c>
      <c r="Z12" s="168">
        <f t="shared" si="4"/>
        <v>9.4380816762940896</v>
      </c>
      <c r="AA12" s="223" t="s">
        <v>4409</v>
      </c>
      <c r="AB12" s="113">
        <v>498.9</v>
      </c>
      <c r="AC12" s="168">
        <v>79903</v>
      </c>
      <c r="AD12" s="223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4660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4649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4675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4649</v>
      </c>
      <c r="X14" s="168" t="s">
        <v>1086</v>
      </c>
      <c r="Y14" s="113">
        <v>4369699</v>
      </c>
      <c r="Z14" s="168">
        <f t="shared" si="4"/>
        <v>8.608136716052984</v>
      </c>
      <c r="AA14" s="217" t="s">
        <v>4394</v>
      </c>
      <c r="AB14" s="113">
        <v>5393.6</v>
      </c>
      <c r="AC14" s="168">
        <v>6974</v>
      </c>
      <c r="AD14" s="217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4675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4665</v>
      </c>
      <c r="X15" s="168" t="s">
        <v>1086</v>
      </c>
      <c r="Y15" s="113">
        <v>4374000</v>
      </c>
      <c r="Z15" s="168">
        <f t="shared" si="4"/>
        <v>2.0343806584362141</v>
      </c>
      <c r="AA15" s="217" t="s">
        <v>4394</v>
      </c>
      <c r="AB15" s="117">
        <v>5179.5</v>
      </c>
      <c r="AC15" s="19">
        <v>1718</v>
      </c>
      <c r="AD15" s="217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1">
        <v>15</v>
      </c>
      <c r="K16" s="211" t="s">
        <v>4678</v>
      </c>
      <c r="L16" s="169">
        <v>4433930</v>
      </c>
      <c r="M16" s="211">
        <v>1.5</v>
      </c>
      <c r="N16" s="113">
        <f>L16*M16</f>
        <v>6650895</v>
      </c>
      <c r="O16" s="99" t="s">
        <v>751</v>
      </c>
      <c r="W16" s="168" t="s">
        <v>4678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4390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1">
        <v>16</v>
      </c>
      <c r="K17" s="211" t="s">
        <v>4678</v>
      </c>
      <c r="L17" s="169">
        <v>4433930</v>
      </c>
      <c r="M17" s="211">
        <v>1.5</v>
      </c>
      <c r="N17" s="113">
        <f>L17*M17</f>
        <v>6650895</v>
      </c>
      <c r="O17" s="99" t="s">
        <v>452</v>
      </c>
      <c r="W17" s="212" t="s">
        <v>4678</v>
      </c>
      <c r="X17" s="212" t="s">
        <v>1086</v>
      </c>
      <c r="Y17" s="113">
        <v>4367053</v>
      </c>
      <c r="Z17" s="212">
        <f t="shared" si="4"/>
        <v>0.12751793944337292</v>
      </c>
      <c r="AA17" s="223" t="s">
        <v>4409</v>
      </c>
      <c r="AB17" s="117">
        <v>508.1</v>
      </c>
      <c r="AC17" s="19">
        <v>1096</v>
      </c>
      <c r="AD17" s="223">
        <f>Y17/AB17</f>
        <v>8594.8691202519185</v>
      </c>
      <c r="AE17" s="212">
        <f t="shared" si="2"/>
        <v>1.1634848489358842E-4</v>
      </c>
      <c r="AF17" s="99"/>
    </row>
    <row r="18" spans="1:32">
      <c r="A18" s="96"/>
      <c r="B18" s="96"/>
      <c r="C18" s="96"/>
      <c r="D18" s="96"/>
      <c r="J18" s="214">
        <v>17</v>
      </c>
      <c r="K18" s="214" t="s">
        <v>4703</v>
      </c>
      <c r="L18" s="169">
        <v>4291628</v>
      </c>
      <c r="M18" s="214">
        <v>0.5</v>
      </c>
      <c r="N18" s="113">
        <v>2145814</v>
      </c>
      <c r="O18" s="99" t="s">
        <v>751</v>
      </c>
      <c r="W18" s="168" t="s">
        <v>4693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4390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4">
        <v>18</v>
      </c>
      <c r="K19" s="214" t="s">
        <v>4703</v>
      </c>
      <c r="L19" s="169">
        <v>4291628</v>
      </c>
      <c r="M19" s="214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4693</v>
      </c>
      <c r="X19" s="168" t="s">
        <v>1086</v>
      </c>
      <c r="Y19" s="113">
        <v>4433930</v>
      </c>
      <c r="Z19" s="168">
        <f t="shared" si="4"/>
        <v>0.13984559972755545</v>
      </c>
      <c r="AA19" s="223" t="s">
        <v>4409</v>
      </c>
      <c r="AB19" s="117">
        <v>503.3</v>
      </c>
      <c r="AC19" s="19">
        <v>1232</v>
      </c>
      <c r="AD19" s="223">
        <f t="shared" si="6"/>
        <v>8809.7158752235246</v>
      </c>
      <c r="AE19" s="168">
        <f t="shared" si="2"/>
        <v>1.1351103873989892E-4</v>
      </c>
      <c r="AF19" s="99"/>
    </row>
    <row r="20" spans="1:32">
      <c r="J20" s="214">
        <v>19</v>
      </c>
      <c r="K20" s="214" t="s">
        <v>4715</v>
      </c>
      <c r="L20" s="169">
        <v>4369730</v>
      </c>
      <c r="M20" s="214">
        <v>1</v>
      </c>
      <c r="N20" s="113">
        <f t="shared" ref="N20:N38" si="7">L20*M20</f>
        <v>4369730</v>
      </c>
      <c r="O20" s="99" t="s">
        <v>751</v>
      </c>
      <c r="W20" s="168" t="s">
        <v>4699</v>
      </c>
      <c r="X20" s="168" t="s">
        <v>1086</v>
      </c>
      <c r="Y20" s="113">
        <v>4183832</v>
      </c>
      <c r="Z20" s="214">
        <v>0.24415416297786335</v>
      </c>
      <c r="AA20" s="223" t="s">
        <v>4409</v>
      </c>
      <c r="AB20" s="117">
        <v>501.2</v>
      </c>
      <c r="AC20" s="19">
        <f>Y20*Z20/AB20</f>
        <v>2038.1085395051875</v>
      </c>
      <c r="AD20" s="223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4">
        <v>20</v>
      </c>
      <c r="K21" s="214" t="s">
        <v>4715</v>
      </c>
      <c r="L21" s="169">
        <v>4369730</v>
      </c>
      <c r="M21" s="214">
        <v>1</v>
      </c>
      <c r="N21" s="113">
        <f t="shared" si="7"/>
        <v>4369730</v>
      </c>
      <c r="O21" s="99" t="s">
        <v>452</v>
      </c>
      <c r="R21" t="s">
        <v>25</v>
      </c>
      <c r="W21" s="214" t="s">
        <v>4703</v>
      </c>
      <c r="X21" s="214" t="s">
        <v>1086</v>
      </c>
      <c r="Y21" s="113">
        <v>4183832</v>
      </c>
      <c r="Z21" s="214">
        <v>0.23385260211213069</v>
      </c>
      <c r="AA21" s="223" t="s">
        <v>4409</v>
      </c>
      <c r="AB21" s="117">
        <v>481.7</v>
      </c>
      <c r="AC21" s="19">
        <f>Y21*Z21/AB21</f>
        <v>2031.1397135146358</v>
      </c>
      <c r="AD21" s="223">
        <f t="shared" si="8"/>
        <v>8685.555324891011</v>
      </c>
      <c r="AE21" s="214">
        <f t="shared" si="2"/>
        <v>1.1513368605622787E-4</v>
      </c>
      <c r="AF21" s="99"/>
    </row>
    <row r="22" spans="1:32">
      <c r="J22" s="168">
        <v>21</v>
      </c>
      <c r="K22" s="168" t="s">
        <v>4716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4" t="s">
        <v>4706</v>
      </c>
      <c r="X22" s="214" t="s">
        <v>1086</v>
      </c>
      <c r="Y22" s="113">
        <v>4291628</v>
      </c>
      <c r="Z22" s="214">
        <f t="shared" ref="Z22:Z43" si="9">AB22*AC22/Y22</f>
        <v>0.94748414820669458</v>
      </c>
      <c r="AA22" s="198" t="s">
        <v>4390</v>
      </c>
      <c r="AB22" s="117">
        <v>3115.9</v>
      </c>
      <c r="AC22" s="19">
        <v>1305</v>
      </c>
      <c r="AD22" s="198">
        <f t="shared" si="8"/>
        <v>1377.3317500561634</v>
      </c>
      <c r="AE22" s="214">
        <f t="shared" si="2"/>
        <v>7.2604149287869312E-4</v>
      </c>
      <c r="AF22" s="99"/>
    </row>
    <row r="23" spans="1:32">
      <c r="A23" s="99" t="s">
        <v>180</v>
      </c>
      <c r="B23" s="99" t="s">
        <v>4709</v>
      </c>
      <c r="C23" s="99" t="s">
        <v>4710</v>
      </c>
      <c r="D23" s="99" t="s">
        <v>4711</v>
      </c>
      <c r="E23" s="69" t="s">
        <v>4712</v>
      </c>
      <c r="J23" s="214">
        <v>22</v>
      </c>
      <c r="K23" s="214" t="s">
        <v>4716</v>
      </c>
      <c r="L23" s="113">
        <v>4398820</v>
      </c>
      <c r="M23" s="214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4706</v>
      </c>
      <c r="X23" s="168" t="s">
        <v>1086</v>
      </c>
      <c r="Y23" s="113">
        <v>4291628</v>
      </c>
      <c r="Z23" s="214">
        <f t="shared" si="9"/>
        <v>4.7641314671262279E-2</v>
      </c>
      <c r="AA23" s="19" t="s">
        <v>4586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4665</v>
      </c>
      <c r="B24" s="95">
        <v>4080000</v>
      </c>
      <c r="C24" s="95">
        <v>4200000</v>
      </c>
      <c r="D24" s="95"/>
      <c r="E24" s="95"/>
      <c r="J24" s="220">
        <v>23</v>
      </c>
      <c r="K24" s="220" t="s">
        <v>4716</v>
      </c>
      <c r="L24" s="221">
        <v>4388600</v>
      </c>
      <c r="M24" s="220">
        <v>5</v>
      </c>
      <c r="N24" s="221">
        <f t="shared" si="7"/>
        <v>21943000</v>
      </c>
      <c r="O24" s="222" t="s">
        <v>4728</v>
      </c>
      <c r="W24" s="214" t="s">
        <v>4716</v>
      </c>
      <c r="X24" s="214" t="s">
        <v>1086</v>
      </c>
      <c r="Y24" s="113">
        <v>4369730</v>
      </c>
      <c r="Z24" s="214">
        <f t="shared" si="9"/>
        <v>1.9131203758584627</v>
      </c>
      <c r="AA24" s="198" t="s">
        <v>4390</v>
      </c>
      <c r="AB24" s="117">
        <v>3120.5</v>
      </c>
      <c r="AC24" s="19">
        <v>2679</v>
      </c>
      <c r="AD24" s="198">
        <f t="shared" si="8"/>
        <v>1400.3300753084441</v>
      </c>
      <c r="AE24" s="214">
        <f t="shared" si="2"/>
        <v>7.1411734821144558E-4</v>
      </c>
      <c r="AF24" s="99"/>
    </row>
    <row r="25" spans="1:32">
      <c r="A25" s="99" t="s">
        <v>4675</v>
      </c>
      <c r="B25" s="95">
        <v>4100000</v>
      </c>
      <c r="C25" s="95">
        <v>4230000</v>
      </c>
      <c r="D25" s="95"/>
      <c r="E25" s="95"/>
      <c r="J25" s="214">
        <v>24</v>
      </c>
      <c r="K25" s="214" t="s">
        <v>4718</v>
      </c>
      <c r="L25" s="113">
        <v>4445103</v>
      </c>
      <c r="M25" s="214">
        <v>1.5</v>
      </c>
      <c r="N25" s="113">
        <f t="shared" si="7"/>
        <v>6667654.5</v>
      </c>
      <c r="O25" s="99" t="s">
        <v>751</v>
      </c>
      <c r="W25" s="214" t="s">
        <v>4718</v>
      </c>
      <c r="X25" s="214" t="s">
        <v>1086</v>
      </c>
      <c r="Y25" s="113">
        <v>4398820</v>
      </c>
      <c r="Z25" s="214">
        <f t="shared" si="9"/>
        <v>3.9898935623644527</v>
      </c>
      <c r="AA25" s="198" t="s">
        <v>4390</v>
      </c>
      <c r="AB25" s="117">
        <v>3112.4</v>
      </c>
      <c r="AC25" s="19">
        <v>5639</v>
      </c>
      <c r="AD25" s="198">
        <f t="shared" si="8"/>
        <v>1413.3209099087521</v>
      </c>
      <c r="AE25" s="214">
        <f t="shared" si="2"/>
        <v>7.0755338931804436E-4</v>
      </c>
      <c r="AF25" s="99"/>
    </row>
    <row r="26" spans="1:32">
      <c r="A26" s="99" t="s">
        <v>4678</v>
      </c>
      <c r="B26" s="95">
        <v>4230000</v>
      </c>
      <c r="C26" s="95">
        <v>4330000</v>
      </c>
      <c r="D26" s="95">
        <v>12200</v>
      </c>
      <c r="E26" s="95">
        <v>12350</v>
      </c>
      <c r="J26" s="214">
        <v>25</v>
      </c>
      <c r="K26" s="214" t="s">
        <v>4718</v>
      </c>
      <c r="L26" s="113">
        <v>4445103</v>
      </c>
      <c r="M26" s="214">
        <v>1.5</v>
      </c>
      <c r="N26" s="113">
        <f t="shared" si="7"/>
        <v>6667654.5</v>
      </c>
      <c r="O26" s="99" t="s">
        <v>452</v>
      </c>
      <c r="R26" t="s">
        <v>25</v>
      </c>
      <c r="W26" s="214" t="s">
        <v>4727</v>
      </c>
      <c r="X26" s="214" t="s">
        <v>1086</v>
      </c>
      <c r="Y26" s="113">
        <v>4445103</v>
      </c>
      <c r="Z26" s="214">
        <f>AB26*AC26/Y26</f>
        <v>1.8767484128039327</v>
      </c>
      <c r="AA26" s="223" t="s">
        <v>4409</v>
      </c>
      <c r="AB26" s="117">
        <v>489</v>
      </c>
      <c r="AC26" s="19">
        <v>17060</v>
      </c>
      <c r="AD26" s="223">
        <f t="shared" si="8"/>
        <v>9090.1901840490791</v>
      </c>
      <c r="AE26" s="214">
        <f t="shared" si="2"/>
        <v>1.1000869946095737E-4</v>
      </c>
      <c r="AF26" s="99"/>
    </row>
    <row r="27" spans="1:32">
      <c r="A27" s="99" t="s">
        <v>4693</v>
      </c>
      <c r="B27" s="95">
        <v>4270000</v>
      </c>
      <c r="C27" s="95">
        <v>4370000</v>
      </c>
      <c r="D27" s="95"/>
      <c r="E27" s="95"/>
      <c r="J27" s="214">
        <v>26</v>
      </c>
      <c r="K27" s="214" t="s">
        <v>4727</v>
      </c>
      <c r="L27" s="113">
        <v>4490623</v>
      </c>
      <c r="M27" s="214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4" t="s">
        <v>3684</v>
      </c>
      <c r="X27" s="214" t="s">
        <v>1086</v>
      </c>
      <c r="Y27" s="113">
        <v>4490623</v>
      </c>
      <c r="Z27" s="214">
        <f t="shared" si="9"/>
        <v>3.9795864404560346</v>
      </c>
      <c r="AA27" s="223" t="s">
        <v>4409</v>
      </c>
      <c r="AB27" s="214">
        <v>486.4</v>
      </c>
      <c r="AC27" s="214">
        <v>36741</v>
      </c>
      <c r="AD27" s="223">
        <f t="shared" si="8"/>
        <v>9232.3663651315801</v>
      </c>
      <c r="AE27" s="214">
        <f t="shared" si="2"/>
        <v>1.0831459242960275E-4</v>
      </c>
      <c r="AF27" s="99"/>
    </row>
    <row r="28" spans="1:32">
      <c r="A28" s="99" t="s">
        <v>4703</v>
      </c>
      <c r="B28" s="95">
        <v>3980000</v>
      </c>
      <c r="C28" s="95">
        <v>4120000</v>
      </c>
      <c r="D28" s="95">
        <v>11450</v>
      </c>
      <c r="E28" s="95">
        <v>11650</v>
      </c>
      <c r="J28" s="214">
        <v>27</v>
      </c>
      <c r="K28" s="214" t="s">
        <v>4727</v>
      </c>
      <c r="L28" s="113">
        <v>4490623</v>
      </c>
      <c r="M28" s="214">
        <v>2</v>
      </c>
      <c r="N28" s="113">
        <f t="shared" si="7"/>
        <v>8981246</v>
      </c>
      <c r="O28" s="99" t="s">
        <v>452</v>
      </c>
      <c r="W28" s="214" t="s">
        <v>4740</v>
      </c>
      <c r="X28" s="214" t="s">
        <v>1086</v>
      </c>
      <c r="Y28" s="113">
        <v>4590878</v>
      </c>
      <c r="Z28" s="214">
        <f t="shared" si="9"/>
        <v>2.0741130563696095</v>
      </c>
      <c r="AA28" s="209" t="s">
        <v>4409</v>
      </c>
      <c r="AB28" s="214">
        <v>476.1</v>
      </c>
      <c r="AC28" s="214">
        <v>20000</v>
      </c>
      <c r="AD28" s="209">
        <f t="shared" si="8"/>
        <v>9642.6759084225996</v>
      </c>
      <c r="AE28" s="214">
        <f t="shared" si="2"/>
        <v>1.0370565281848048E-4</v>
      </c>
      <c r="AF28" s="99"/>
    </row>
    <row r="29" spans="1:32">
      <c r="A29" s="99" t="s">
        <v>4706</v>
      </c>
      <c r="B29" s="95">
        <v>4120000</v>
      </c>
      <c r="C29" s="95">
        <v>4230000</v>
      </c>
      <c r="D29" s="95">
        <v>11650</v>
      </c>
      <c r="E29" s="95">
        <v>11750</v>
      </c>
      <c r="J29" s="214">
        <v>28</v>
      </c>
      <c r="K29" s="214" t="s">
        <v>3684</v>
      </c>
      <c r="L29" s="113">
        <v>4590878</v>
      </c>
      <c r="M29" s="214">
        <v>2</v>
      </c>
      <c r="N29" s="113">
        <f t="shared" si="7"/>
        <v>9181756</v>
      </c>
      <c r="O29" s="99" t="s">
        <v>751</v>
      </c>
      <c r="W29" s="214" t="s">
        <v>4740</v>
      </c>
      <c r="X29" s="214" t="s">
        <v>1086</v>
      </c>
      <c r="Y29" s="113">
        <v>4590878</v>
      </c>
      <c r="Z29" s="214">
        <f t="shared" si="9"/>
        <v>2.3602445980921298</v>
      </c>
      <c r="AA29" s="198" t="s">
        <v>4390</v>
      </c>
      <c r="AB29" s="214">
        <v>3095</v>
      </c>
      <c r="AC29" s="214">
        <v>3501</v>
      </c>
      <c r="AD29" s="198">
        <f t="shared" si="8"/>
        <v>1483.3208400646204</v>
      </c>
      <c r="AE29" s="214">
        <f t="shared" si="2"/>
        <v>6.7416298146019129E-4</v>
      </c>
      <c r="AF29" s="99"/>
    </row>
    <row r="30" spans="1:32">
      <c r="A30" s="99" t="s">
        <v>4707</v>
      </c>
      <c r="B30" s="95">
        <v>4170000</v>
      </c>
      <c r="C30" s="95">
        <v>4280000</v>
      </c>
      <c r="D30" s="95">
        <v>11750</v>
      </c>
      <c r="E30" s="95">
        <v>11900</v>
      </c>
      <c r="J30" s="214">
        <v>29</v>
      </c>
      <c r="K30" s="214" t="s">
        <v>3684</v>
      </c>
      <c r="L30" s="113">
        <v>4590878</v>
      </c>
      <c r="M30" s="214">
        <v>2</v>
      </c>
      <c r="N30" s="113">
        <f t="shared" si="7"/>
        <v>9181756</v>
      </c>
      <c r="O30" s="99" t="s">
        <v>452</v>
      </c>
      <c r="R30" t="s">
        <v>25</v>
      </c>
      <c r="W30" s="214" t="s">
        <v>4740</v>
      </c>
      <c r="X30" s="214" t="s">
        <v>1086</v>
      </c>
      <c r="Y30" s="113">
        <v>4590878</v>
      </c>
      <c r="Z30" s="214">
        <f t="shared" si="9"/>
        <v>0.33907971416360883</v>
      </c>
      <c r="AA30" s="226" t="s">
        <v>4243</v>
      </c>
      <c r="AB30" s="117">
        <v>168.8</v>
      </c>
      <c r="AC30" s="19">
        <v>9222</v>
      </c>
      <c r="AD30" s="226">
        <f t="shared" si="8"/>
        <v>27197.14454976303</v>
      </c>
      <c r="AE30" s="214">
        <f t="shared" si="2"/>
        <v>3.6768565838604295E-5</v>
      </c>
      <c r="AF30" s="99"/>
    </row>
    <row r="31" spans="1:32">
      <c r="A31" s="99" t="s">
        <v>4713</v>
      </c>
      <c r="B31" s="95">
        <v>4130000</v>
      </c>
      <c r="C31" s="95">
        <v>4260000</v>
      </c>
      <c r="D31" s="95">
        <v>11850</v>
      </c>
      <c r="E31" s="95">
        <v>11950</v>
      </c>
      <c r="J31" s="214">
        <v>30</v>
      </c>
      <c r="K31" s="214" t="s">
        <v>4740</v>
      </c>
      <c r="L31" s="113">
        <v>4724483</v>
      </c>
      <c r="M31" s="214">
        <v>2.5</v>
      </c>
      <c r="N31" s="113">
        <f t="shared" si="7"/>
        <v>11811207.5</v>
      </c>
      <c r="O31" s="99" t="s">
        <v>751</v>
      </c>
      <c r="W31" s="214" t="s">
        <v>4740</v>
      </c>
      <c r="X31" s="214" t="s">
        <v>1086</v>
      </c>
      <c r="Y31" s="113">
        <v>4590878</v>
      </c>
      <c r="Z31" s="214">
        <f t="shared" si="9"/>
        <v>1.0887767002303264</v>
      </c>
      <c r="AA31" s="13" t="s">
        <v>4537</v>
      </c>
      <c r="AB31" s="117">
        <v>3859.8</v>
      </c>
      <c r="AC31" s="19">
        <v>1295</v>
      </c>
      <c r="AD31" s="13">
        <f t="shared" si="8"/>
        <v>1189.4082594953106</v>
      </c>
      <c r="AE31" s="214">
        <f t="shared" si="2"/>
        <v>8.4075420867206669E-4</v>
      </c>
      <c r="AF31" s="99"/>
    </row>
    <row r="32" spans="1:32">
      <c r="A32" s="99" t="s">
        <v>4715</v>
      </c>
      <c r="B32" s="95">
        <v>4100000</v>
      </c>
      <c r="C32" s="95">
        <v>4220000</v>
      </c>
      <c r="D32" s="95">
        <v>11800</v>
      </c>
      <c r="E32" s="95">
        <v>11980</v>
      </c>
      <c r="J32" s="214">
        <v>31</v>
      </c>
      <c r="K32" s="214" t="s">
        <v>4740</v>
      </c>
      <c r="L32" s="113">
        <v>4724483</v>
      </c>
      <c r="M32" s="214">
        <v>2.5</v>
      </c>
      <c r="N32" s="113">
        <f t="shared" si="7"/>
        <v>11811207.5</v>
      </c>
      <c r="O32" s="99" t="s">
        <v>452</v>
      </c>
      <c r="W32" s="214" t="s">
        <v>4744</v>
      </c>
      <c r="X32" s="214" t="s">
        <v>1086</v>
      </c>
      <c r="Y32" s="113">
        <v>4445103</v>
      </c>
      <c r="Z32" s="214">
        <f t="shared" si="9"/>
        <v>1.0998433557107676</v>
      </c>
      <c r="AA32" s="192" t="s">
        <v>4390</v>
      </c>
      <c r="AB32" s="117">
        <v>3069</v>
      </c>
      <c r="AC32" s="214">
        <v>1593</v>
      </c>
      <c r="AD32" s="192">
        <f t="shared" si="8"/>
        <v>1448.3880742913002</v>
      </c>
      <c r="AE32" s="214">
        <f t="shared" si="2"/>
        <v>6.9042269661692874E-4</v>
      </c>
      <c r="AF32" s="99" t="s">
        <v>4745</v>
      </c>
    </row>
    <row r="33" spans="1:32">
      <c r="A33" s="99" t="s">
        <v>4716</v>
      </c>
      <c r="B33" s="95">
        <v>4220000</v>
      </c>
      <c r="C33" s="95">
        <v>4320000</v>
      </c>
      <c r="D33" s="95">
        <v>11900</v>
      </c>
      <c r="E33" s="95">
        <v>12050</v>
      </c>
      <c r="J33" s="214">
        <v>32</v>
      </c>
      <c r="K33" s="214" t="s">
        <v>4756</v>
      </c>
      <c r="L33" s="113">
        <v>4852712</v>
      </c>
      <c r="M33" s="214">
        <v>8.5</v>
      </c>
      <c r="N33" s="113">
        <f t="shared" si="7"/>
        <v>41248052</v>
      </c>
      <c r="O33" s="99" t="s">
        <v>751</v>
      </c>
      <c r="W33" s="214" t="s">
        <v>4744</v>
      </c>
      <c r="X33" s="214" t="s">
        <v>1086</v>
      </c>
      <c r="Y33" s="113">
        <v>4724483</v>
      </c>
      <c r="Z33" s="214">
        <f t="shared" si="9"/>
        <v>2.1503257816781223</v>
      </c>
      <c r="AA33" s="193" t="s">
        <v>4390</v>
      </c>
      <c r="AB33" s="117">
        <v>3099.2</v>
      </c>
      <c r="AC33" s="214">
        <v>3278</v>
      </c>
      <c r="AD33" s="193">
        <f t="shared" si="8"/>
        <v>1524.4201729478575</v>
      </c>
      <c r="AE33" s="214">
        <f t="shared" si="2"/>
        <v>6.5598712070717572E-4</v>
      </c>
      <c r="AF33" s="99"/>
    </row>
    <row r="34" spans="1:32">
      <c r="A34" s="99" t="s">
        <v>4718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4">
        <v>33</v>
      </c>
      <c r="K34" s="214" t="s">
        <v>4756</v>
      </c>
      <c r="L34" s="113">
        <v>4852712</v>
      </c>
      <c r="M34" s="214">
        <v>8.5</v>
      </c>
      <c r="N34" s="113">
        <f t="shared" si="7"/>
        <v>41248052</v>
      </c>
      <c r="O34" s="99" t="s">
        <v>452</v>
      </c>
      <c r="W34" s="214" t="s">
        <v>4744</v>
      </c>
      <c r="X34" s="214" t="s">
        <v>1086</v>
      </c>
      <c r="Y34" s="113">
        <v>4724483</v>
      </c>
      <c r="Z34" s="214">
        <f t="shared" si="9"/>
        <v>2.8236157480088302</v>
      </c>
      <c r="AA34" s="5" t="s">
        <v>4537</v>
      </c>
      <c r="AB34" s="117">
        <v>3853.3</v>
      </c>
      <c r="AC34" s="214">
        <v>3462</v>
      </c>
      <c r="AD34" s="5">
        <f t="shared" si="8"/>
        <v>1226.0875094075207</v>
      </c>
      <c r="AE34" s="214">
        <f t="shared" si="2"/>
        <v>8.1560246909556037E-4</v>
      </c>
      <c r="AF34" s="99"/>
    </row>
    <row r="35" spans="1:32">
      <c r="A35" s="99" t="s">
        <v>4727</v>
      </c>
      <c r="B35" s="95">
        <v>4230000</v>
      </c>
      <c r="C35" s="95">
        <v>4370000</v>
      </c>
      <c r="D35" s="95">
        <v>12100</v>
      </c>
      <c r="E35" s="95">
        <v>12250</v>
      </c>
      <c r="J35" s="214">
        <v>34</v>
      </c>
      <c r="K35" s="214" t="s">
        <v>4758</v>
      </c>
      <c r="L35" s="113">
        <v>4977171</v>
      </c>
      <c r="M35" s="214">
        <v>7.5</v>
      </c>
      <c r="N35" s="113">
        <f t="shared" si="7"/>
        <v>37328782.5</v>
      </c>
      <c r="O35" s="99" t="s">
        <v>751</v>
      </c>
      <c r="W35" s="214" t="s">
        <v>4758</v>
      </c>
      <c r="X35" s="214" t="s">
        <v>1086</v>
      </c>
      <c r="Y35" s="113">
        <v>4852712</v>
      </c>
      <c r="Z35" s="214">
        <f t="shared" si="9"/>
        <v>0.69267922761540357</v>
      </c>
      <c r="AA35" s="198" t="s">
        <v>4390</v>
      </c>
      <c r="AB35" s="117">
        <v>3324.8</v>
      </c>
      <c r="AC35" s="214">
        <v>1011</v>
      </c>
      <c r="AD35" s="198">
        <f t="shared" si="8"/>
        <v>1459.5500481231952</v>
      </c>
      <c r="AE35" s="214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4">
        <v>35</v>
      </c>
      <c r="K36" s="214" t="s">
        <v>4758</v>
      </c>
      <c r="L36" s="113">
        <v>4977171</v>
      </c>
      <c r="M36" s="214">
        <v>7.5</v>
      </c>
      <c r="N36" s="113">
        <f t="shared" si="7"/>
        <v>37328782.5</v>
      </c>
      <c r="O36" s="99" t="s">
        <v>452</v>
      </c>
      <c r="R36" s="96"/>
      <c r="W36" s="214" t="s">
        <v>4758</v>
      </c>
      <c r="X36" s="214" t="s">
        <v>1086</v>
      </c>
      <c r="Y36" s="113">
        <v>4852712</v>
      </c>
      <c r="Z36" s="214">
        <f t="shared" si="9"/>
        <v>13.047731721973198</v>
      </c>
      <c r="AA36" s="13" t="s">
        <v>4537</v>
      </c>
      <c r="AB36" s="117">
        <v>4176.3</v>
      </c>
      <c r="AC36" s="214">
        <v>15161</v>
      </c>
      <c r="AD36" s="13">
        <f t="shared" si="8"/>
        <v>1161.9644182649713</v>
      </c>
      <c r="AE36" s="214">
        <f t="shared" si="2"/>
        <v>8.6061155081941813E-4</v>
      </c>
      <c r="AF36" s="99"/>
    </row>
    <row r="37" spans="1:32">
      <c r="A37" s="99" t="s">
        <v>4740</v>
      </c>
      <c r="B37" s="95">
        <v>4370000</v>
      </c>
      <c r="C37" s="95">
        <v>4480000</v>
      </c>
      <c r="D37" s="95">
        <v>12600</v>
      </c>
      <c r="E37" s="95">
        <v>12700</v>
      </c>
      <c r="J37" s="214">
        <v>36</v>
      </c>
      <c r="K37" s="214" t="s">
        <v>4907</v>
      </c>
      <c r="L37" s="113">
        <v>5048479</v>
      </c>
      <c r="M37" s="214">
        <v>4</v>
      </c>
      <c r="N37" s="113">
        <f t="shared" si="7"/>
        <v>20193916</v>
      </c>
      <c r="O37" s="99" t="s">
        <v>751</v>
      </c>
      <c r="W37" s="214" t="s">
        <v>4758</v>
      </c>
      <c r="X37" s="214" t="s">
        <v>1086</v>
      </c>
      <c r="Y37" s="113">
        <v>4852712</v>
      </c>
      <c r="Z37" s="214">
        <f t="shared" si="9"/>
        <v>3.1790291490613911</v>
      </c>
      <c r="AA37" s="223" t="s">
        <v>4409</v>
      </c>
      <c r="AB37" s="117">
        <v>525.1</v>
      </c>
      <c r="AC37" s="214">
        <v>29379</v>
      </c>
      <c r="AD37" s="223">
        <f t="shared" si="8"/>
        <v>9241.5006665397068</v>
      </c>
      <c r="AE37" s="214">
        <f t="shared" si="2"/>
        <v>1.0820753426125433E-4</v>
      </c>
      <c r="AF37" s="99"/>
    </row>
    <row r="38" spans="1:32">
      <c r="A38" s="99" t="s">
        <v>4744</v>
      </c>
      <c r="B38" s="95">
        <v>4470000</v>
      </c>
      <c r="C38" s="95">
        <v>4580000</v>
      </c>
      <c r="D38" s="95">
        <v>13050</v>
      </c>
      <c r="E38" s="95">
        <v>13200</v>
      </c>
      <c r="J38" s="214">
        <v>37</v>
      </c>
      <c r="K38" s="214" t="s">
        <v>4907</v>
      </c>
      <c r="L38" s="113">
        <v>5048479</v>
      </c>
      <c r="M38" s="214">
        <v>9</v>
      </c>
      <c r="N38" s="113">
        <f t="shared" si="7"/>
        <v>45436311</v>
      </c>
      <c r="O38" s="99" t="s">
        <v>452</v>
      </c>
      <c r="W38" s="214" t="s">
        <v>4766</v>
      </c>
      <c r="X38" s="214" t="s">
        <v>1086</v>
      </c>
      <c r="Y38" s="113">
        <v>4977171</v>
      </c>
      <c r="Z38" s="214">
        <f t="shared" si="9"/>
        <v>6.1346965173589574</v>
      </c>
      <c r="AA38" s="223" t="s">
        <v>4409</v>
      </c>
      <c r="AB38" s="117">
        <v>529.79999999999995</v>
      </c>
      <c r="AC38" s="214">
        <v>57632</v>
      </c>
      <c r="AD38" s="223">
        <f t="shared" si="8"/>
        <v>9394.4337485843716</v>
      </c>
      <c r="AE38" s="214">
        <f t="shared" si="2"/>
        <v>1.0644601119792749E-4</v>
      </c>
      <c r="AF38" s="99"/>
    </row>
    <row r="39" spans="1:32">
      <c r="A39" s="99" t="s">
        <v>4750</v>
      </c>
      <c r="B39" s="95">
        <v>4600000</v>
      </c>
      <c r="C39" s="95">
        <v>4720000</v>
      </c>
      <c r="D39" s="95"/>
      <c r="E39" s="95"/>
      <c r="J39" s="214"/>
      <c r="K39" s="214"/>
      <c r="L39" s="113"/>
      <c r="M39" s="214"/>
      <c r="N39" s="113"/>
      <c r="O39" s="99"/>
      <c r="W39" s="214" t="s">
        <v>4766</v>
      </c>
      <c r="X39" s="214" t="s">
        <v>1086</v>
      </c>
      <c r="Y39" s="113">
        <v>4977171</v>
      </c>
      <c r="Z39" s="214">
        <f t="shared" si="9"/>
        <v>1.084129920390519</v>
      </c>
      <c r="AA39" s="228" t="s">
        <v>4394</v>
      </c>
      <c r="AB39" s="117">
        <v>5395.9</v>
      </c>
      <c r="AC39" s="214">
        <v>1000</v>
      </c>
      <c r="AD39" s="228">
        <f t="shared" si="8"/>
        <v>922.39867306658766</v>
      </c>
      <c r="AE39" s="214">
        <f t="shared" si="2"/>
        <v>1.0841299203905189E-3</v>
      </c>
      <c r="AF39" s="99"/>
    </row>
    <row r="40" spans="1:32">
      <c r="A40" s="99" t="s">
        <v>4756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4" t="s">
        <v>4766</v>
      </c>
      <c r="X40" s="214" t="s">
        <v>1086</v>
      </c>
      <c r="Y40" s="113">
        <v>4977171</v>
      </c>
      <c r="Z40" s="214">
        <f t="shared" si="9"/>
        <v>7.7072195831728516</v>
      </c>
      <c r="AA40" s="223" t="s">
        <v>4390</v>
      </c>
      <c r="AB40" s="117">
        <v>3355.8</v>
      </c>
      <c r="AC40" s="214">
        <v>11431</v>
      </c>
      <c r="AD40" s="223">
        <f t="shared" si="8"/>
        <v>1483.1548364026462</v>
      </c>
      <c r="AE40" s="214">
        <f t="shared" si="2"/>
        <v>6.7423843785957929E-4</v>
      </c>
      <c r="AF40" s="99"/>
    </row>
    <row r="41" spans="1:32">
      <c r="A41" s="99" t="s">
        <v>4758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1" t="s">
        <v>4783</v>
      </c>
      <c r="X41" s="231" t="s">
        <v>4409</v>
      </c>
      <c r="Y41" s="229">
        <v>530.29999999999995</v>
      </c>
      <c r="Z41" s="231">
        <f t="shared" si="9"/>
        <v>24481.99132566472</v>
      </c>
      <c r="AA41" s="231" t="s">
        <v>4394</v>
      </c>
      <c r="AB41" s="231">
        <v>5235</v>
      </c>
      <c r="AC41" s="231">
        <v>2480</v>
      </c>
      <c r="AD41" s="231">
        <f t="shared" si="8"/>
        <v>0.10129894937917859</v>
      </c>
      <c r="AE41" s="231">
        <f t="shared" si="2"/>
        <v>9.8717706958325486</v>
      </c>
      <c r="AF41" s="161"/>
    </row>
    <row r="42" spans="1:32">
      <c r="A42" s="99" t="s">
        <v>4766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4" t="s">
        <v>4799</v>
      </c>
      <c r="X42" s="214" t="s">
        <v>4243</v>
      </c>
      <c r="Y42" s="113">
        <v>185.7</v>
      </c>
      <c r="Z42" s="214">
        <f t="shared" si="9"/>
        <v>9238.0484652665582</v>
      </c>
      <c r="AA42" s="214" t="s">
        <v>4296</v>
      </c>
      <c r="AB42" s="117">
        <v>303.2</v>
      </c>
      <c r="AC42" s="214">
        <v>5658</v>
      </c>
      <c r="AD42" s="214">
        <f t="shared" si="8"/>
        <v>0.61246701846965701</v>
      </c>
      <c r="AE42" s="214">
        <f t="shared" si="2"/>
        <v>1.6327409800753905</v>
      </c>
      <c r="AF42" s="99"/>
    </row>
    <row r="43" spans="1:32">
      <c r="A43" s="99" t="s">
        <v>4774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2" t="s">
        <v>4804</v>
      </c>
      <c r="X43" s="232" t="s">
        <v>4409</v>
      </c>
      <c r="Y43" s="233">
        <v>538.79999999999995</v>
      </c>
      <c r="Z43" s="232">
        <f t="shared" si="9"/>
        <v>4989.5322939866373</v>
      </c>
      <c r="AA43" s="232" t="s">
        <v>4394</v>
      </c>
      <c r="AB43" s="233">
        <v>5160</v>
      </c>
      <c r="AC43" s="232">
        <v>521</v>
      </c>
      <c r="AD43" s="232">
        <f>Y43/AB43</f>
        <v>0.10441860465116279</v>
      </c>
      <c r="AE43" s="232">
        <f t="shared" si="2"/>
        <v>9.5768374164810695</v>
      </c>
      <c r="AF43" s="234"/>
    </row>
    <row r="44" spans="1:32">
      <c r="A44" s="99" t="s">
        <v>4783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4524</v>
      </c>
      <c r="N44" t="s">
        <v>25</v>
      </c>
      <c r="O44" s="224">
        <v>74657561</v>
      </c>
      <c r="R44" t="s">
        <v>25</v>
      </c>
      <c r="W44" s="214" t="s">
        <v>4814</v>
      </c>
      <c r="X44" s="214" t="s">
        <v>4296</v>
      </c>
      <c r="Y44" s="113">
        <v>299.10000000000002</v>
      </c>
      <c r="Z44" s="214">
        <v>5658</v>
      </c>
      <c r="AA44" s="214" t="s">
        <v>4243</v>
      </c>
      <c r="AB44" s="214">
        <v>182.5</v>
      </c>
      <c r="AC44" s="214">
        <v>9173</v>
      </c>
      <c r="AD44" s="214">
        <f>Y44/AB44</f>
        <v>1.6389041095890413</v>
      </c>
      <c r="AE44" s="214">
        <f t="shared" si="2"/>
        <v>0.61016382480775655</v>
      </c>
      <c r="AF44" s="99" t="s">
        <v>4816</v>
      </c>
    </row>
    <row r="45" spans="1:32">
      <c r="A45" s="99" t="s">
        <v>4794</v>
      </c>
      <c r="B45" s="95">
        <v>4500000</v>
      </c>
      <c r="C45" s="95">
        <v>4650000</v>
      </c>
      <c r="D45" s="95">
        <v>13250</v>
      </c>
      <c r="E45" s="95">
        <v>13450</v>
      </c>
      <c r="W45" s="214" t="s">
        <v>4814</v>
      </c>
      <c r="X45" s="214" t="s">
        <v>4394</v>
      </c>
      <c r="Y45" s="113">
        <v>5149.1000000000004</v>
      </c>
      <c r="Z45" s="214">
        <v>290</v>
      </c>
      <c r="AA45" s="214" t="s">
        <v>4537</v>
      </c>
      <c r="AB45" s="214">
        <v>3933</v>
      </c>
      <c r="AC45" s="214">
        <v>375</v>
      </c>
      <c r="AD45" s="214">
        <f>Y45/AB45</f>
        <v>1.3092041698449022</v>
      </c>
      <c r="AE45" s="214">
        <f t="shared" ref="AE45" si="10">AB45/Y45</f>
        <v>0.76382280398516245</v>
      </c>
      <c r="AF45" s="99" t="s">
        <v>25</v>
      </c>
    </row>
    <row r="46" spans="1:32">
      <c r="A46" s="99" t="s">
        <v>4799</v>
      </c>
      <c r="B46" s="95">
        <v>4620000</v>
      </c>
      <c r="C46" s="95">
        <v>4770000</v>
      </c>
      <c r="D46" s="95">
        <v>13600</v>
      </c>
      <c r="E46" s="95">
        <v>13700</v>
      </c>
      <c r="W46" s="214" t="s">
        <v>4840</v>
      </c>
      <c r="X46" s="214" t="s">
        <v>4394</v>
      </c>
      <c r="Y46" s="113">
        <v>5399.3</v>
      </c>
      <c r="Z46" s="214">
        <v>2000</v>
      </c>
      <c r="AA46" s="214" t="s">
        <v>4537</v>
      </c>
      <c r="AB46" s="214">
        <v>4049.8</v>
      </c>
      <c r="AC46" s="214">
        <v>2638</v>
      </c>
      <c r="AD46" s="214">
        <f>Y46/AB46</f>
        <v>1.3332263321645512</v>
      </c>
      <c r="AE46" s="214">
        <f t="shared" ref="AE46:AE47" si="11">AB46/Y46</f>
        <v>0.75006019298797988</v>
      </c>
      <c r="AF46" s="99"/>
    </row>
    <row r="47" spans="1:32">
      <c r="A47" s="99" t="s">
        <v>4803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4" t="s">
        <v>5007</v>
      </c>
      <c r="X47" s="214" t="s">
        <v>4296</v>
      </c>
      <c r="Y47" s="113">
        <v>362.9</v>
      </c>
      <c r="Z47" s="214">
        <v>1822</v>
      </c>
      <c r="AA47" s="214" t="s">
        <v>4243</v>
      </c>
      <c r="AB47" s="214">
        <v>191.5</v>
      </c>
      <c r="AC47" s="214">
        <v>3409</v>
      </c>
      <c r="AD47" s="214">
        <f>Y47/AB47</f>
        <v>1.8950391644908615</v>
      </c>
      <c r="AE47" s="214">
        <f t="shared" si="11"/>
        <v>0.5276935794984845</v>
      </c>
      <c r="AF47" s="99"/>
    </row>
    <row r="48" spans="1:32">
      <c r="A48" s="99" t="s">
        <v>4804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4" t="s">
        <v>5007</v>
      </c>
      <c r="X48" s="214" t="s">
        <v>4296</v>
      </c>
      <c r="Y48" s="113">
        <v>361.4</v>
      </c>
      <c r="Z48" s="214">
        <v>5174</v>
      </c>
      <c r="AA48" s="214" t="s">
        <v>4390</v>
      </c>
      <c r="AB48" s="214">
        <v>3698</v>
      </c>
      <c r="AC48" s="214">
        <v>498</v>
      </c>
      <c r="AD48" s="214">
        <f t="shared" ref="AD48:AD62" si="12">Y48/AB48</f>
        <v>9.7728501892915084E-2</v>
      </c>
      <c r="AE48" s="214">
        <f t="shared" ref="AE48:AE62" si="13">AB48/Y48</f>
        <v>10.232429441062536</v>
      </c>
      <c r="AF48" s="99"/>
    </row>
    <row r="49" spans="1:32">
      <c r="A49" s="99" t="s">
        <v>4814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4">
        <v>807756734</v>
      </c>
      <c r="M49">
        <f>L49/16</f>
        <v>50484795.875</v>
      </c>
      <c r="N49">
        <f>M49*4</f>
        <v>201939183.5</v>
      </c>
      <c r="W49" s="214" t="s">
        <v>5007</v>
      </c>
      <c r="X49" s="214" t="s">
        <v>4537</v>
      </c>
      <c r="Y49" s="113">
        <v>4909.6000000000004</v>
      </c>
      <c r="Z49" s="214">
        <v>2000</v>
      </c>
      <c r="AA49" s="214" t="s">
        <v>4390</v>
      </c>
      <c r="AB49" s="214">
        <v>3715.1</v>
      </c>
      <c r="AC49" s="214">
        <v>2603</v>
      </c>
      <c r="AD49" s="214">
        <f>Y49/AB49</f>
        <v>1.321525665527173</v>
      </c>
      <c r="AE49" s="214">
        <f t="shared" si="13"/>
        <v>0.75670115691706041</v>
      </c>
      <c r="AF49" s="99"/>
    </row>
    <row r="50" spans="1:32">
      <c r="A50" s="99" t="s">
        <v>4818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W50" s="214" t="s">
        <v>5007</v>
      </c>
      <c r="X50" s="214" t="s">
        <v>4537</v>
      </c>
      <c r="Y50" s="113">
        <v>4949.8</v>
      </c>
      <c r="Z50" s="214">
        <v>64</v>
      </c>
      <c r="AA50" s="214" t="s">
        <v>4390</v>
      </c>
      <c r="AB50" s="214">
        <v>3720.1</v>
      </c>
      <c r="AC50" s="214">
        <v>84</v>
      </c>
      <c r="AD50" s="214">
        <f t="shared" si="12"/>
        <v>1.3305556302249941</v>
      </c>
      <c r="AE50" s="214">
        <f t="shared" si="13"/>
        <v>0.75156571982706366</v>
      </c>
      <c r="AF50" s="99"/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W51" s="214" t="s">
        <v>5007</v>
      </c>
      <c r="X51" s="214" t="s">
        <v>4537</v>
      </c>
      <c r="Y51" s="113">
        <v>4949</v>
      </c>
      <c r="Z51" s="214">
        <v>1000</v>
      </c>
      <c r="AA51" s="214" t="s">
        <v>4243</v>
      </c>
      <c r="AB51" s="214">
        <v>192</v>
      </c>
      <c r="AC51" s="214" t="s">
        <v>5011</v>
      </c>
      <c r="AD51" s="214">
        <f t="shared" si="12"/>
        <v>25.776041666666668</v>
      </c>
      <c r="AE51" s="214">
        <f t="shared" si="13"/>
        <v>3.8795716306324508E-2</v>
      </c>
      <c r="AF51" s="99"/>
    </row>
    <row r="52" spans="1:32">
      <c r="A52" s="99" t="s">
        <v>4840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4533</v>
      </c>
      <c r="L52" s="168" t="s">
        <v>1086</v>
      </c>
      <c r="M52" s="168" t="s">
        <v>4243</v>
      </c>
      <c r="N52" s="168" t="s">
        <v>4550</v>
      </c>
      <c r="O52" s="168"/>
      <c r="W52" s="214" t="s">
        <v>5014</v>
      </c>
      <c r="X52" s="214" t="s">
        <v>4537</v>
      </c>
      <c r="Y52" s="113">
        <v>4957.7</v>
      </c>
      <c r="Z52" s="214" t="s">
        <v>5011</v>
      </c>
      <c r="AA52" s="214" t="s">
        <v>4390</v>
      </c>
      <c r="AB52" s="214">
        <v>3589.3</v>
      </c>
      <c r="AC52" s="214" t="s">
        <v>5011</v>
      </c>
      <c r="AD52" s="214">
        <f t="shared" si="12"/>
        <v>1.3812442537542138</v>
      </c>
      <c r="AE52" s="214">
        <f t="shared" si="13"/>
        <v>0.72398491235855345</v>
      </c>
      <c r="AF52" s="99"/>
    </row>
    <row r="53" spans="1:32">
      <c r="A53" s="99" t="s">
        <v>4843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4523</v>
      </c>
      <c r="L53" s="168">
        <v>3390000</v>
      </c>
      <c r="M53" s="168">
        <v>161.4</v>
      </c>
      <c r="N53" s="168">
        <f>L53/M53</f>
        <v>21003.717472118959</v>
      </c>
      <c r="O53" s="168"/>
      <c r="W53" s="214" t="s">
        <v>5014</v>
      </c>
      <c r="X53" s="214" t="s">
        <v>4537</v>
      </c>
      <c r="Y53" s="113">
        <v>4958</v>
      </c>
      <c r="Z53" s="214" t="s">
        <v>5011</v>
      </c>
      <c r="AA53" s="214" t="s">
        <v>4394</v>
      </c>
      <c r="AB53" s="214">
        <v>4730.8999999999996</v>
      </c>
      <c r="AC53" s="214" t="s">
        <v>5011</v>
      </c>
      <c r="AD53" s="214">
        <f t="shared" si="12"/>
        <v>1.0480035511213512</v>
      </c>
      <c r="AE53" s="214">
        <f t="shared" si="13"/>
        <v>0.95419524001613543</v>
      </c>
      <c r="AF53" s="99"/>
    </row>
    <row r="54" spans="1:32">
      <c r="A54" s="99" t="s">
        <v>4846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214" t="s">
        <v>5014</v>
      </c>
      <c r="X54" s="214" t="s">
        <v>4537</v>
      </c>
      <c r="Y54" s="113">
        <v>4958</v>
      </c>
      <c r="Z54" s="214" t="s">
        <v>5011</v>
      </c>
      <c r="AA54" s="214" t="s">
        <v>4409</v>
      </c>
      <c r="AB54" s="214">
        <v>671.9</v>
      </c>
      <c r="AC54" s="214" t="s">
        <v>5011</v>
      </c>
      <c r="AD54" s="214">
        <f t="shared" si="12"/>
        <v>7.379074267004019</v>
      </c>
      <c r="AE54" s="214">
        <f t="shared" si="13"/>
        <v>0.13551835417507058</v>
      </c>
      <c r="AF54" s="99"/>
    </row>
    <row r="55" spans="1:32">
      <c r="A55" s="99" t="s">
        <v>4853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214" t="s">
        <v>5014</v>
      </c>
      <c r="X55" s="214" t="s">
        <v>4537</v>
      </c>
      <c r="Y55" s="113">
        <v>4958</v>
      </c>
      <c r="Z55" s="214" t="s">
        <v>5011</v>
      </c>
      <c r="AA55" s="214" t="s">
        <v>4243</v>
      </c>
      <c r="AB55" s="214">
        <v>194.4</v>
      </c>
      <c r="AC55" s="214" t="s">
        <v>5011</v>
      </c>
      <c r="AD55" s="214">
        <f t="shared" si="12"/>
        <v>25.504115226337447</v>
      </c>
      <c r="AE55" s="214">
        <f t="shared" si="13"/>
        <v>3.9209358612343689E-2</v>
      </c>
      <c r="AF55" s="99"/>
    </row>
    <row r="56" spans="1:32">
      <c r="A56" s="99" t="s">
        <v>4860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214"/>
      <c r="X56" s="214"/>
      <c r="Y56" s="113"/>
      <c r="Z56" s="214"/>
      <c r="AA56" s="214"/>
      <c r="AB56" s="214"/>
      <c r="AC56" s="214"/>
      <c r="AD56" s="214" t="e">
        <f t="shared" si="12"/>
        <v>#DIV/0!</v>
      </c>
      <c r="AE56" s="214" t="e">
        <f t="shared" si="13"/>
        <v>#DIV/0!</v>
      </c>
      <c r="AF56" s="99"/>
    </row>
    <row r="57" spans="1:32">
      <c r="A57" s="99" t="s">
        <v>4865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214"/>
      <c r="X57" s="214"/>
      <c r="Y57" s="113"/>
      <c r="Z57" s="214"/>
      <c r="AA57" s="214"/>
      <c r="AB57" s="214"/>
      <c r="AC57" s="214"/>
      <c r="AD57" s="214" t="e">
        <f t="shared" si="12"/>
        <v>#DIV/0!</v>
      </c>
      <c r="AE57" s="214" t="e">
        <f t="shared" si="13"/>
        <v>#DIV/0!</v>
      </c>
      <c r="AF57" s="99"/>
    </row>
    <row r="58" spans="1:32">
      <c r="A58" s="99" t="s">
        <v>4874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W58" s="214"/>
      <c r="X58" s="214"/>
      <c r="Y58" s="113"/>
      <c r="Z58" s="214"/>
      <c r="AA58" s="214"/>
      <c r="AB58" s="214"/>
      <c r="AC58" s="214"/>
      <c r="AD58" s="214" t="e">
        <f t="shared" si="12"/>
        <v>#DIV/0!</v>
      </c>
      <c r="AE58" s="214" t="e">
        <f t="shared" si="13"/>
        <v>#DIV/0!</v>
      </c>
      <c r="AF58" s="99"/>
    </row>
    <row r="59" spans="1:32">
      <c r="A59" s="99" t="s">
        <v>4907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W59" s="214"/>
      <c r="X59" s="214"/>
      <c r="Y59" s="113"/>
      <c r="Z59" s="214"/>
      <c r="AA59" s="214"/>
      <c r="AB59" s="214"/>
      <c r="AC59" s="214"/>
      <c r="AD59" s="214" t="e">
        <f t="shared" si="12"/>
        <v>#DIV/0!</v>
      </c>
      <c r="AE59" s="214" t="e">
        <f t="shared" si="13"/>
        <v>#DIV/0!</v>
      </c>
      <c r="AF59" s="99"/>
    </row>
    <row r="60" spans="1:32">
      <c r="A60" s="99" t="s">
        <v>4908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W60" s="214"/>
      <c r="X60" s="214"/>
      <c r="Y60" s="113"/>
      <c r="Z60" s="214"/>
      <c r="AA60" s="214"/>
      <c r="AB60" s="214"/>
      <c r="AC60" s="214"/>
      <c r="AD60" s="214" t="e">
        <f t="shared" si="12"/>
        <v>#DIV/0!</v>
      </c>
      <c r="AE60" s="214" t="e">
        <f t="shared" si="13"/>
        <v>#DIV/0!</v>
      </c>
      <c r="AF60" s="99"/>
    </row>
    <row r="61" spans="1:32">
      <c r="A61" s="99" t="s">
        <v>4920</v>
      </c>
      <c r="B61" s="95">
        <v>4850000</v>
      </c>
      <c r="C61" s="95">
        <v>4950000</v>
      </c>
      <c r="D61" s="95">
        <v>13750</v>
      </c>
      <c r="E61" s="95">
        <v>13900</v>
      </c>
      <c r="W61" s="214"/>
      <c r="X61" s="214"/>
      <c r="Y61" s="113"/>
      <c r="Z61" s="214"/>
      <c r="AA61" s="214"/>
      <c r="AB61" s="214"/>
      <c r="AC61" s="214"/>
      <c r="AD61" s="214" t="e">
        <f t="shared" si="12"/>
        <v>#DIV/0!</v>
      </c>
      <c r="AE61" s="214" t="e">
        <f t="shared" si="13"/>
        <v>#DIV/0!</v>
      </c>
      <c r="AF61" s="99"/>
    </row>
    <row r="62" spans="1:32">
      <c r="A62" s="99" t="s">
        <v>4939</v>
      </c>
      <c r="B62" s="95">
        <v>4680000</v>
      </c>
      <c r="C62" s="95">
        <v>4780000</v>
      </c>
      <c r="D62" s="95">
        <v>13500</v>
      </c>
      <c r="E62" s="95">
        <v>13650</v>
      </c>
      <c r="W62" s="214"/>
      <c r="X62" s="214"/>
      <c r="Y62" s="113"/>
      <c r="Z62" s="214"/>
      <c r="AA62" s="214"/>
      <c r="AB62" s="214"/>
      <c r="AC62" s="214"/>
      <c r="AD62" s="214" t="e">
        <f t="shared" si="12"/>
        <v>#DIV/0!</v>
      </c>
      <c r="AE62" s="214" t="e">
        <f t="shared" si="13"/>
        <v>#DIV/0!</v>
      </c>
      <c r="AF62" s="99"/>
    </row>
    <row r="63" spans="1:32">
      <c r="A63" s="99"/>
      <c r="B63" s="95"/>
      <c r="C63" s="95"/>
      <c r="D63" s="95"/>
      <c r="E63" s="95"/>
      <c r="I63" s="214" t="s">
        <v>8</v>
      </c>
      <c r="J63" s="214" t="s">
        <v>4769</v>
      </c>
      <c r="K63" s="214" t="s">
        <v>180</v>
      </c>
      <c r="L63" s="227" t="s">
        <v>4767</v>
      </c>
      <c r="M63" s="227" t="s">
        <v>4768</v>
      </c>
      <c r="N63" s="214" t="s">
        <v>6</v>
      </c>
      <c r="O63" s="214" t="s">
        <v>4770</v>
      </c>
      <c r="P63" s="214" t="s">
        <v>4785</v>
      </c>
      <c r="W63" s="168"/>
      <c r="X63" s="168"/>
      <c r="Y63" s="113"/>
      <c r="Z63" s="168"/>
      <c r="AA63" s="168"/>
      <c r="AB63" s="113"/>
      <c r="AC63" s="168"/>
      <c r="AD63" s="19"/>
      <c r="AE63" s="168"/>
      <c r="AF63" s="99"/>
    </row>
    <row r="64" spans="1:32">
      <c r="A64" s="99"/>
      <c r="B64" s="95"/>
      <c r="C64" s="95"/>
      <c r="D64" s="95"/>
      <c r="E64" s="95"/>
      <c r="G64" t="s">
        <v>25</v>
      </c>
      <c r="I64" s="214"/>
      <c r="J64" s="214"/>
      <c r="K64" s="214" t="s">
        <v>4716</v>
      </c>
      <c r="L64" s="84">
        <v>535989412</v>
      </c>
      <c r="M64" s="84"/>
      <c r="N64" s="214"/>
      <c r="O64" s="214"/>
      <c r="P64" s="214"/>
      <c r="Q64" s="84">
        <v>0</v>
      </c>
      <c r="Z64" t="s">
        <v>25</v>
      </c>
      <c r="AC64" t="s">
        <v>25</v>
      </c>
    </row>
    <row r="65" spans="1:32">
      <c r="A65" s="99"/>
      <c r="B65" s="95"/>
      <c r="C65" s="95"/>
      <c r="D65" s="95"/>
      <c r="E65" s="95"/>
      <c r="I65" s="214"/>
      <c r="J65" s="113">
        <f>L65-L64</f>
        <v>12939932</v>
      </c>
      <c r="K65" s="214" t="s">
        <v>4744</v>
      </c>
      <c r="L65" s="84">
        <v>548929344</v>
      </c>
      <c r="M65" s="84"/>
      <c r="N65" s="214"/>
      <c r="O65" s="214"/>
      <c r="P65" s="214"/>
      <c r="Q65" s="84">
        <v>0</v>
      </c>
      <c r="Z65" t="s">
        <v>25</v>
      </c>
      <c r="AA65" t="s">
        <v>25</v>
      </c>
      <c r="AB65" t="s">
        <v>25</v>
      </c>
      <c r="AC65">
        <f>AD43/AD41</f>
        <v>1.0307965214950732</v>
      </c>
      <c r="AD65" t="s">
        <v>25</v>
      </c>
    </row>
    <row r="66" spans="1:32">
      <c r="F66" t="s">
        <v>25</v>
      </c>
      <c r="I66" s="214"/>
      <c r="J66" s="113">
        <f t="shared" ref="J66:J88" si="14">L66-L65</f>
        <v>11531981</v>
      </c>
      <c r="K66" s="214" t="s">
        <v>4750</v>
      </c>
      <c r="L66" s="84">
        <v>560461325</v>
      </c>
      <c r="M66" s="84"/>
      <c r="N66" s="214"/>
      <c r="O66" s="214"/>
      <c r="P66" s="214"/>
      <c r="Q66" s="84">
        <v>0</v>
      </c>
      <c r="W66" s="96"/>
      <c r="X66" s="96"/>
      <c r="Y66" s="96"/>
      <c r="Z66" s="96"/>
      <c r="AA66" s="96"/>
      <c r="AB66" s="96"/>
      <c r="AC66" s="96"/>
      <c r="AD66" s="96"/>
      <c r="AF66" t="s">
        <v>25</v>
      </c>
    </row>
    <row r="67" spans="1:32">
      <c r="I67" s="214"/>
      <c r="J67" s="113">
        <f t="shared" si="14"/>
        <v>17387769</v>
      </c>
      <c r="K67" s="214" t="s">
        <v>4756</v>
      </c>
      <c r="L67" s="84">
        <v>577849094</v>
      </c>
      <c r="M67" s="84"/>
      <c r="N67" s="214"/>
      <c r="O67" s="214"/>
      <c r="P67" s="214"/>
      <c r="Q67" s="84">
        <v>0</v>
      </c>
      <c r="W67" s="96"/>
      <c r="X67" s="96"/>
      <c r="Y67" s="96"/>
      <c r="Z67" s="96"/>
      <c r="AA67" s="96"/>
      <c r="AB67" s="96"/>
      <c r="AC67" s="96" t="s">
        <v>25</v>
      </c>
      <c r="AD67" s="96"/>
    </row>
    <row r="68" spans="1:32">
      <c r="D68" s="114">
        <f>B62-B28+L19</f>
        <v>4991628</v>
      </c>
      <c r="I68" s="214"/>
      <c r="J68" s="113">
        <f t="shared" si="14"/>
        <v>11024486</v>
      </c>
      <c r="K68" s="214" t="s">
        <v>4758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s="84">
        <v>0</v>
      </c>
      <c r="W68" s="96"/>
      <c r="X68" s="96"/>
      <c r="Y68" s="96" t="s">
        <v>25</v>
      </c>
      <c r="Z68" s="96"/>
      <c r="AA68" s="96"/>
      <c r="AB68" s="96" t="s">
        <v>25</v>
      </c>
      <c r="AC68" s="96">
        <f>AD46/AD45</f>
        <v>1.0183486753807811</v>
      </c>
      <c r="AD68" s="96"/>
    </row>
    <row r="69" spans="1:32">
      <c r="B69" t="s">
        <v>25</v>
      </c>
      <c r="I69" s="214"/>
      <c r="J69" s="113">
        <f t="shared" si="14"/>
        <v>-8942851</v>
      </c>
      <c r="K69" s="214" t="s">
        <v>4766</v>
      </c>
      <c r="L69" s="230">
        <v>579930729</v>
      </c>
      <c r="M69" s="84">
        <v>247714729</v>
      </c>
      <c r="N69" s="113">
        <f t="shared" ref="N69:N91" si="15">L69+M69</f>
        <v>827645458</v>
      </c>
      <c r="O69" s="113">
        <f t="shared" ref="O69:O88" si="16">M69-M68</f>
        <v>-2541194</v>
      </c>
      <c r="P69" s="113">
        <f t="shared" ref="P69:P88" si="17">N69-N68</f>
        <v>-11484045</v>
      </c>
      <c r="Q69" s="84">
        <v>0</v>
      </c>
      <c r="W69" s="96"/>
      <c r="X69" s="96"/>
      <c r="Y69" s="96"/>
      <c r="Z69" s="96"/>
      <c r="AA69" s="96"/>
      <c r="AB69" s="96"/>
      <c r="AC69" s="96"/>
      <c r="AD69" s="96"/>
    </row>
    <row r="70" spans="1:32">
      <c r="I70" s="5" t="s">
        <v>4782</v>
      </c>
      <c r="J70" s="35">
        <f t="shared" si="14"/>
        <v>45893629</v>
      </c>
      <c r="K70" s="5" t="s">
        <v>4774</v>
      </c>
      <c r="L70" s="237">
        <v>625824358</v>
      </c>
      <c r="M70" s="237">
        <v>243028777</v>
      </c>
      <c r="N70" s="35">
        <f t="shared" si="15"/>
        <v>868853135</v>
      </c>
      <c r="O70" s="35">
        <f t="shared" si="16"/>
        <v>-4685952</v>
      </c>
      <c r="P70" s="35">
        <f>N70-N69-50000000</f>
        <v>-8792323</v>
      </c>
      <c r="Q70" s="84">
        <v>50000000</v>
      </c>
      <c r="W70" s="96"/>
      <c r="X70" s="96"/>
      <c r="Y70" s="96"/>
      <c r="Z70" s="96"/>
      <c r="AA70" s="96"/>
      <c r="AB70" s="96"/>
      <c r="AC70" s="96"/>
      <c r="AD70" s="96"/>
    </row>
    <row r="71" spans="1:32">
      <c r="D71" t="s">
        <v>25</v>
      </c>
      <c r="E71" t="s">
        <v>25</v>
      </c>
      <c r="I71" s="214"/>
      <c r="J71" s="113">
        <f t="shared" si="14"/>
        <v>3462014</v>
      </c>
      <c r="K71" s="214" t="s">
        <v>4783</v>
      </c>
      <c r="L71" s="84">
        <v>629286372</v>
      </c>
      <c r="M71" s="84">
        <v>246690884</v>
      </c>
      <c r="N71" s="113">
        <f t="shared" si="15"/>
        <v>875977256</v>
      </c>
      <c r="O71" s="113">
        <f t="shared" si="16"/>
        <v>3662107</v>
      </c>
      <c r="P71" s="113">
        <f t="shared" si="17"/>
        <v>7124121</v>
      </c>
      <c r="Q71" s="84">
        <v>0</v>
      </c>
      <c r="W71" s="96"/>
      <c r="X71" s="96"/>
      <c r="Y71" s="96"/>
      <c r="Z71" s="96"/>
      <c r="AA71" s="96"/>
      <c r="AB71" s="96"/>
      <c r="AC71" s="96"/>
      <c r="AD71" s="96"/>
    </row>
    <row r="72" spans="1:32">
      <c r="I72" s="214"/>
      <c r="J72" s="113">
        <f t="shared" si="14"/>
        <v>-2687296</v>
      </c>
      <c r="K72" s="214" t="s">
        <v>4799</v>
      </c>
      <c r="L72" s="84">
        <v>626599076</v>
      </c>
      <c r="M72" s="84">
        <v>244530128</v>
      </c>
      <c r="N72" s="113">
        <f t="shared" si="15"/>
        <v>871129204</v>
      </c>
      <c r="O72" s="113">
        <f t="shared" si="16"/>
        <v>-2160756</v>
      </c>
      <c r="P72" s="113">
        <f t="shared" si="17"/>
        <v>-4848052</v>
      </c>
      <c r="Q72" s="84">
        <v>0</v>
      </c>
      <c r="AA72" s="96"/>
      <c r="AB72" s="96"/>
      <c r="AC72" s="96"/>
      <c r="AD72" s="96"/>
    </row>
    <row r="73" spans="1:32">
      <c r="I73" s="214"/>
      <c r="J73" s="113">
        <f t="shared" si="14"/>
        <v>-6009466</v>
      </c>
      <c r="K73" s="214" t="s">
        <v>4803</v>
      </c>
      <c r="L73" s="84">
        <v>620589610</v>
      </c>
      <c r="M73" s="84">
        <v>242967684</v>
      </c>
      <c r="N73" s="113">
        <f t="shared" si="15"/>
        <v>863557294</v>
      </c>
      <c r="O73" s="113">
        <f t="shared" si="16"/>
        <v>-1562444</v>
      </c>
      <c r="P73" s="113">
        <f t="shared" si="17"/>
        <v>-7571910</v>
      </c>
      <c r="Q73" s="84">
        <v>0</v>
      </c>
      <c r="AA73" s="96"/>
      <c r="AB73" s="96"/>
      <c r="AC73" s="96"/>
      <c r="AD73" s="96" t="s">
        <v>25</v>
      </c>
    </row>
    <row r="74" spans="1:32">
      <c r="I74" s="214"/>
      <c r="J74" s="113">
        <f t="shared" si="14"/>
        <v>-1273071</v>
      </c>
      <c r="K74" s="214" t="s">
        <v>4804</v>
      </c>
      <c r="L74" s="84">
        <v>619316539</v>
      </c>
      <c r="M74" s="84">
        <v>242985726</v>
      </c>
      <c r="N74" s="113">
        <f t="shared" si="15"/>
        <v>862302265</v>
      </c>
      <c r="O74" s="113">
        <f t="shared" si="16"/>
        <v>18042</v>
      </c>
      <c r="P74" s="113">
        <f t="shared" si="17"/>
        <v>-1255029</v>
      </c>
      <c r="Q74" s="84">
        <v>0</v>
      </c>
      <c r="AA74" s="96"/>
      <c r="AB74" s="96"/>
      <c r="AC74" s="96" t="s">
        <v>25</v>
      </c>
      <c r="AD74" s="96"/>
    </row>
    <row r="75" spans="1:32">
      <c r="I75" s="214"/>
      <c r="J75" s="113">
        <f t="shared" si="14"/>
        <v>112274</v>
      </c>
      <c r="K75" s="214" t="s">
        <v>4814</v>
      </c>
      <c r="L75" s="84">
        <v>619428813</v>
      </c>
      <c r="M75" s="84">
        <v>242060147</v>
      </c>
      <c r="N75" s="113">
        <f t="shared" si="15"/>
        <v>861488960</v>
      </c>
      <c r="O75" s="113">
        <f t="shared" si="16"/>
        <v>-925579</v>
      </c>
      <c r="P75" s="113">
        <f t="shared" si="17"/>
        <v>-813305</v>
      </c>
      <c r="Q75" s="84">
        <v>0</v>
      </c>
      <c r="AA75" s="96"/>
      <c r="AB75" s="96"/>
      <c r="AC75" s="96"/>
      <c r="AD75" s="96" t="s">
        <v>25</v>
      </c>
    </row>
    <row r="76" spans="1:32">
      <c r="I76" s="214"/>
      <c r="J76" s="113">
        <f t="shared" si="14"/>
        <v>6567221</v>
      </c>
      <c r="K76" s="214" t="s">
        <v>4818</v>
      </c>
      <c r="L76" s="84">
        <v>625996034</v>
      </c>
      <c r="M76" s="84">
        <v>242597875</v>
      </c>
      <c r="N76" s="113">
        <f t="shared" si="15"/>
        <v>868593909</v>
      </c>
      <c r="O76" s="113">
        <f t="shared" si="16"/>
        <v>537728</v>
      </c>
      <c r="P76" s="113">
        <f t="shared" si="17"/>
        <v>7104949</v>
      </c>
      <c r="Q76" s="84">
        <v>0</v>
      </c>
      <c r="W76" s="96"/>
      <c r="X76" s="96"/>
      <c r="Y76" s="96"/>
      <c r="Z76" s="96"/>
      <c r="AA76" s="96"/>
      <c r="AB76" s="96"/>
      <c r="AC76" s="96"/>
      <c r="AD76" s="96"/>
    </row>
    <row r="77" spans="1:32">
      <c r="I77" s="214"/>
      <c r="J77" s="113">
        <f t="shared" si="14"/>
        <v>4477051</v>
      </c>
      <c r="K77" s="214" t="s">
        <v>974</v>
      </c>
      <c r="L77" s="84">
        <v>630473085</v>
      </c>
      <c r="M77" s="84">
        <v>243884962</v>
      </c>
      <c r="N77" s="113">
        <f t="shared" si="15"/>
        <v>874358047</v>
      </c>
      <c r="O77" s="113">
        <f t="shared" si="16"/>
        <v>1287087</v>
      </c>
      <c r="P77" s="113">
        <f t="shared" si="17"/>
        <v>5764138</v>
      </c>
      <c r="Q77" s="84">
        <v>0</v>
      </c>
      <c r="W77" s="96"/>
      <c r="X77" s="96"/>
      <c r="Y77" s="96"/>
      <c r="Z77" s="96" t="s">
        <v>4654</v>
      </c>
      <c r="AA77" s="96"/>
      <c r="AB77" s="96"/>
      <c r="AC77" s="96"/>
      <c r="AD77" s="96"/>
    </row>
    <row r="78" spans="1:32">
      <c r="F78" t="s">
        <v>25</v>
      </c>
      <c r="I78" s="214"/>
      <c r="J78" s="113">
        <f t="shared" si="14"/>
        <v>6046556</v>
      </c>
      <c r="K78" s="214" t="s">
        <v>4840</v>
      </c>
      <c r="L78" s="84">
        <v>636519641</v>
      </c>
      <c r="M78" s="84">
        <v>248242879</v>
      </c>
      <c r="N78" s="113">
        <f t="shared" si="15"/>
        <v>884762520</v>
      </c>
      <c r="O78" s="113">
        <f t="shared" si="16"/>
        <v>4357917</v>
      </c>
      <c r="P78" s="113">
        <f t="shared" si="17"/>
        <v>10404473</v>
      </c>
      <c r="Q78" s="84">
        <v>0</v>
      </c>
      <c r="W78" s="96"/>
      <c r="X78" s="96"/>
      <c r="Y78" s="96"/>
      <c r="Z78" s="96" t="s">
        <v>4655</v>
      </c>
      <c r="AA78" s="208">
        <v>35441</v>
      </c>
      <c r="AB78" s="96"/>
      <c r="AC78" s="96"/>
      <c r="AD78" s="96"/>
    </row>
    <row r="79" spans="1:32" ht="120">
      <c r="I79" s="214"/>
      <c r="J79" s="113">
        <f t="shared" si="14"/>
        <v>6885870</v>
      </c>
      <c r="K79" s="214" t="s">
        <v>4843</v>
      </c>
      <c r="L79" s="84">
        <v>643405511</v>
      </c>
      <c r="M79" s="84">
        <v>252682386</v>
      </c>
      <c r="N79" s="113">
        <f t="shared" si="15"/>
        <v>896087897</v>
      </c>
      <c r="O79" s="113">
        <f t="shared" si="16"/>
        <v>4439507</v>
      </c>
      <c r="P79" s="113">
        <f t="shared" si="17"/>
        <v>11325377</v>
      </c>
      <c r="Q79" s="84">
        <v>0</v>
      </c>
      <c r="W79" s="96"/>
      <c r="X79" s="22" t="s">
        <v>4658</v>
      </c>
      <c r="Y79" s="22" t="s">
        <v>4657</v>
      </c>
      <c r="Z79" s="22" t="s">
        <v>4656</v>
      </c>
      <c r="AA79" s="22" t="s">
        <v>4659</v>
      </c>
    </row>
    <row r="80" spans="1:32">
      <c r="G80" t="s">
        <v>25</v>
      </c>
      <c r="I80" s="5" t="s">
        <v>4864</v>
      </c>
      <c r="J80" s="35">
        <f t="shared" si="14"/>
        <v>-1984018</v>
      </c>
      <c r="K80" s="5" t="s">
        <v>4846</v>
      </c>
      <c r="L80" s="237">
        <v>641421493</v>
      </c>
      <c r="M80" s="237">
        <v>250864833</v>
      </c>
      <c r="N80" s="35">
        <f t="shared" si="15"/>
        <v>892286326</v>
      </c>
      <c r="O80" s="35">
        <f t="shared" si="16"/>
        <v>-1817553</v>
      </c>
      <c r="P80" s="35">
        <f>N80-N79-2000000</f>
        <v>-5801571</v>
      </c>
      <c r="Q80" s="84">
        <v>2000000</v>
      </c>
    </row>
    <row r="81" spans="6:17">
      <c r="I81" s="214"/>
      <c r="J81" s="113">
        <f t="shared" si="14"/>
        <v>6117877</v>
      </c>
      <c r="K81" s="214" t="s">
        <v>4853</v>
      </c>
      <c r="L81" s="84">
        <v>647539370</v>
      </c>
      <c r="M81" s="84">
        <v>254691103</v>
      </c>
      <c r="N81" s="113">
        <f t="shared" si="15"/>
        <v>902230473</v>
      </c>
      <c r="O81" s="113">
        <f t="shared" si="16"/>
        <v>3826270</v>
      </c>
      <c r="P81" s="113">
        <f t="shared" si="17"/>
        <v>9944147</v>
      </c>
      <c r="Q81" s="84">
        <v>0</v>
      </c>
    </row>
    <row r="82" spans="6:17" ht="30">
      <c r="I82" s="239" t="s">
        <v>4863</v>
      </c>
      <c r="J82" s="86">
        <f t="shared" si="14"/>
        <v>8860702</v>
      </c>
      <c r="K82" s="192" t="s">
        <v>4860</v>
      </c>
      <c r="L82" s="238">
        <v>656400072</v>
      </c>
      <c r="M82" s="238">
        <v>260846052</v>
      </c>
      <c r="N82" s="86">
        <f t="shared" si="15"/>
        <v>917246124</v>
      </c>
      <c r="O82" s="86">
        <f t="shared" si="16"/>
        <v>6154949</v>
      </c>
      <c r="P82" s="86">
        <f>N82-N81-4250000</f>
        <v>10765651</v>
      </c>
      <c r="Q82" s="84">
        <v>4250000</v>
      </c>
    </row>
    <row r="83" spans="6:17" ht="30">
      <c r="I83" s="239" t="s">
        <v>4872</v>
      </c>
      <c r="J83" s="86">
        <f>L83-L82+31412200</f>
        <v>20439704</v>
      </c>
      <c r="K83" s="192" t="s">
        <v>4865</v>
      </c>
      <c r="L83" s="238">
        <v>645427576</v>
      </c>
      <c r="M83" s="238">
        <v>263837297</v>
      </c>
      <c r="N83" s="86">
        <f t="shared" si="15"/>
        <v>909264873</v>
      </c>
      <c r="O83" s="86">
        <f>M83-M82+2060725</f>
        <v>5051970</v>
      </c>
      <c r="P83" s="86">
        <f>N83-N82+2060725+31412200</f>
        <v>25491674</v>
      </c>
      <c r="Q83" s="84">
        <v>-33472925</v>
      </c>
    </row>
    <row r="84" spans="6:17">
      <c r="F84" t="s">
        <v>25</v>
      </c>
      <c r="I84" s="190" t="s">
        <v>4873</v>
      </c>
      <c r="J84" s="189">
        <f t="shared" si="14"/>
        <v>21224293</v>
      </c>
      <c r="K84" s="190" t="s">
        <v>4874</v>
      </c>
      <c r="L84" s="240">
        <v>666651869</v>
      </c>
      <c r="M84" s="240">
        <v>303563891</v>
      </c>
      <c r="N84" s="189">
        <f t="shared" si="15"/>
        <v>970215760</v>
      </c>
      <c r="O84" s="189">
        <f>M84-M83-28000000</f>
        <v>11726594</v>
      </c>
      <c r="P84" s="189">
        <f>N84-N83-28000000</f>
        <v>32950887</v>
      </c>
      <c r="Q84" s="84">
        <v>28000000</v>
      </c>
    </row>
    <row r="85" spans="6:17">
      <c r="I85" s="214"/>
      <c r="J85" s="113">
        <f t="shared" si="14"/>
        <v>9478107</v>
      </c>
      <c r="K85" s="214" t="s">
        <v>981</v>
      </c>
      <c r="L85" s="84">
        <v>676129976</v>
      </c>
      <c r="M85" s="84">
        <v>302822379</v>
      </c>
      <c r="N85" s="113">
        <f t="shared" si="15"/>
        <v>978952355</v>
      </c>
      <c r="O85" s="113">
        <f t="shared" si="16"/>
        <v>-741512</v>
      </c>
      <c r="P85" s="113">
        <f t="shared" si="17"/>
        <v>8736595</v>
      </c>
      <c r="Q85" s="84">
        <v>0</v>
      </c>
    </row>
    <row r="86" spans="6:17">
      <c r="I86" s="214"/>
      <c r="J86" s="113">
        <f t="shared" si="14"/>
        <v>-8249999</v>
      </c>
      <c r="K86" s="214" t="s">
        <v>4882</v>
      </c>
      <c r="L86" s="84">
        <v>667879977</v>
      </c>
      <c r="M86" s="84">
        <v>298414541</v>
      </c>
      <c r="N86" s="113">
        <f t="shared" si="15"/>
        <v>966294518</v>
      </c>
      <c r="O86" s="113">
        <f t="shared" si="16"/>
        <v>-4407838</v>
      </c>
      <c r="P86" s="113">
        <f t="shared" si="17"/>
        <v>-12657837</v>
      </c>
      <c r="Q86" s="84">
        <v>0</v>
      </c>
    </row>
    <row r="87" spans="6:17">
      <c r="I87" s="241" t="s">
        <v>4893</v>
      </c>
      <c r="J87" s="197">
        <f>L87-L86-20000</f>
        <v>7878257</v>
      </c>
      <c r="K87" s="191" t="s">
        <v>4883</v>
      </c>
      <c r="L87" s="242">
        <v>675778234</v>
      </c>
      <c r="M87" s="242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  <c r="Q87" s="84">
        <v>870000</v>
      </c>
    </row>
    <row r="88" spans="6:17">
      <c r="I88" s="214" t="s">
        <v>25</v>
      </c>
      <c r="J88" s="113">
        <f t="shared" si="14"/>
        <v>17031996</v>
      </c>
      <c r="K88" s="214" t="s">
        <v>4895</v>
      </c>
      <c r="L88" s="84">
        <v>692810230</v>
      </c>
      <c r="M88" s="84">
        <v>311823171</v>
      </c>
      <c r="N88" s="113">
        <f t="shared" si="15"/>
        <v>1004633401</v>
      </c>
      <c r="O88" s="113">
        <f t="shared" si="16"/>
        <v>9435121</v>
      </c>
      <c r="P88" s="113">
        <f t="shared" si="17"/>
        <v>26467117</v>
      </c>
      <c r="Q88" s="84">
        <v>0</v>
      </c>
    </row>
    <row r="89" spans="6:17">
      <c r="I89" s="214"/>
      <c r="J89" s="113">
        <f>L89-L88</f>
        <v>-12175091</v>
      </c>
      <c r="K89" s="214" t="s">
        <v>4896</v>
      </c>
      <c r="L89" s="84">
        <v>680635139</v>
      </c>
      <c r="M89" s="84">
        <v>313005875</v>
      </c>
      <c r="N89" s="113">
        <f t="shared" si="15"/>
        <v>993641014</v>
      </c>
      <c r="O89" s="113">
        <f>M89-M88</f>
        <v>1182704</v>
      </c>
      <c r="P89" s="113">
        <f>N89-N88</f>
        <v>-10992387</v>
      </c>
      <c r="Q89" s="84">
        <v>0</v>
      </c>
    </row>
    <row r="90" spans="6:17">
      <c r="I90" s="191" t="s">
        <v>4930</v>
      </c>
      <c r="J90" s="197">
        <f>L90-L89-1000000</f>
        <v>3840350</v>
      </c>
      <c r="K90" s="191" t="s">
        <v>4907</v>
      </c>
      <c r="L90" s="242">
        <v>685475489</v>
      </c>
      <c r="M90" s="242">
        <v>312030960</v>
      </c>
      <c r="N90" s="197">
        <f t="shared" si="15"/>
        <v>997506449</v>
      </c>
      <c r="O90" s="197">
        <f t="shared" ref="O90:O91" si="18">M90-M89</f>
        <v>-974915</v>
      </c>
      <c r="P90" s="197">
        <f>N90-N89-1000000</f>
        <v>2865435</v>
      </c>
      <c r="Q90" s="84">
        <v>1000000</v>
      </c>
    </row>
    <row r="91" spans="6:17">
      <c r="I91" s="214"/>
      <c r="J91" s="113">
        <f t="shared" ref="J91:J126" si="19">L91-L90</f>
        <v>-12127865</v>
      </c>
      <c r="K91" s="214" t="s">
        <v>4908</v>
      </c>
      <c r="L91" s="84">
        <v>673347624</v>
      </c>
      <c r="M91" s="84">
        <v>308820785</v>
      </c>
      <c r="N91" s="113">
        <f t="shared" si="15"/>
        <v>982168409</v>
      </c>
      <c r="O91" s="113">
        <f t="shared" si="18"/>
        <v>-3210175</v>
      </c>
      <c r="P91" s="113">
        <f t="shared" ref="P91" si="20">N91-N90</f>
        <v>-15338040</v>
      </c>
      <c r="Q91" s="84">
        <v>0</v>
      </c>
    </row>
    <row r="92" spans="6:17">
      <c r="I92" s="214"/>
      <c r="J92" s="113">
        <f t="shared" si="19"/>
        <v>11765514</v>
      </c>
      <c r="K92" s="214" t="s">
        <v>4920</v>
      </c>
      <c r="L92" s="84">
        <v>685113138</v>
      </c>
      <c r="M92" s="84">
        <v>311743933</v>
      </c>
      <c r="N92" s="113">
        <f t="shared" ref="N92:N97" si="21">L92+M92</f>
        <v>996857071</v>
      </c>
      <c r="O92" s="113">
        <f t="shared" ref="O92:O97" si="22">M92-M91</f>
        <v>2923148</v>
      </c>
      <c r="P92" s="113">
        <f t="shared" ref="P92:P97" si="23">N92-N91</f>
        <v>14688662</v>
      </c>
      <c r="Q92" s="84">
        <v>0</v>
      </c>
    </row>
    <row r="93" spans="6:17">
      <c r="I93" s="214"/>
      <c r="J93" s="113">
        <f t="shared" si="19"/>
        <v>2886862</v>
      </c>
      <c r="K93" s="214" t="s">
        <v>4922</v>
      </c>
      <c r="L93" s="84">
        <v>688000000</v>
      </c>
      <c r="M93" s="84">
        <v>312500000</v>
      </c>
      <c r="N93" s="113">
        <f t="shared" si="21"/>
        <v>1000500000</v>
      </c>
      <c r="O93" s="113">
        <f t="shared" si="22"/>
        <v>756067</v>
      </c>
      <c r="P93" s="113">
        <f t="shared" si="23"/>
        <v>3642929</v>
      </c>
      <c r="Q93" s="84">
        <v>0</v>
      </c>
    </row>
    <row r="94" spans="6:17">
      <c r="I94" s="214"/>
      <c r="J94" s="113">
        <f t="shared" si="19"/>
        <v>10450869</v>
      </c>
      <c r="K94" s="214" t="s">
        <v>4923</v>
      </c>
      <c r="L94" s="84">
        <v>698450869</v>
      </c>
      <c r="M94" s="84">
        <v>316326929</v>
      </c>
      <c r="N94" s="113">
        <f t="shared" si="21"/>
        <v>1014777798</v>
      </c>
      <c r="O94" s="113">
        <f t="shared" si="22"/>
        <v>3826929</v>
      </c>
      <c r="P94" s="113">
        <f t="shared" si="23"/>
        <v>14277798</v>
      </c>
      <c r="Q94" s="84">
        <v>0</v>
      </c>
    </row>
    <row r="95" spans="6:17">
      <c r="I95" s="191" t="s">
        <v>4929</v>
      </c>
      <c r="J95" s="197">
        <f>L95-L94-2520000</f>
        <v>-274657</v>
      </c>
      <c r="K95" s="191" t="s">
        <v>4926</v>
      </c>
      <c r="L95" s="242">
        <v>700696212</v>
      </c>
      <c r="M95" s="242">
        <v>314277518</v>
      </c>
      <c r="N95" s="197">
        <f t="shared" si="21"/>
        <v>1014973730</v>
      </c>
      <c r="O95" s="197">
        <f t="shared" si="22"/>
        <v>-2049411</v>
      </c>
      <c r="P95" s="197">
        <f>N95-N94-2520000</f>
        <v>-2324068</v>
      </c>
      <c r="Q95" s="84">
        <v>2520000</v>
      </c>
    </row>
    <row r="96" spans="6:17">
      <c r="I96" s="214"/>
      <c r="J96" s="113">
        <f t="shared" si="19"/>
        <v>3959605</v>
      </c>
      <c r="K96" s="214" t="s">
        <v>4931</v>
      </c>
      <c r="L96" s="84">
        <v>704655817</v>
      </c>
      <c r="M96" s="84">
        <v>315439070</v>
      </c>
      <c r="N96" s="113">
        <f t="shared" si="21"/>
        <v>1020094887</v>
      </c>
      <c r="O96" s="113">
        <f t="shared" si="22"/>
        <v>1161552</v>
      </c>
      <c r="P96" s="113">
        <f t="shared" si="23"/>
        <v>5121157</v>
      </c>
      <c r="Q96" s="84">
        <v>0</v>
      </c>
    </row>
    <row r="97" spans="9:20">
      <c r="I97" s="214"/>
      <c r="J97" s="113">
        <f t="shared" si="19"/>
        <v>4588822</v>
      </c>
      <c r="K97" s="214" t="s">
        <v>4934</v>
      </c>
      <c r="L97" s="84">
        <v>709244639</v>
      </c>
      <c r="M97" s="84">
        <v>318439707</v>
      </c>
      <c r="N97" s="113">
        <f t="shared" si="21"/>
        <v>1027684346</v>
      </c>
      <c r="O97" s="113">
        <f t="shared" si="22"/>
        <v>3000637</v>
      </c>
      <c r="P97" s="113">
        <f t="shared" si="23"/>
        <v>7589459</v>
      </c>
      <c r="Q97" s="84">
        <v>0</v>
      </c>
    </row>
    <row r="98" spans="9:20">
      <c r="I98" s="214"/>
      <c r="J98" s="113">
        <f t="shared" si="19"/>
        <v>-11230604</v>
      </c>
      <c r="K98" s="214" t="s">
        <v>4936</v>
      </c>
      <c r="L98" s="84">
        <v>698014035</v>
      </c>
      <c r="M98" s="84">
        <v>314823372</v>
      </c>
      <c r="N98" s="113">
        <f t="shared" ref="N98:N110" si="24">L98+M98</f>
        <v>1012837407</v>
      </c>
      <c r="O98" s="113">
        <f t="shared" ref="O98:O109" si="25">M98-M97</f>
        <v>-3616335</v>
      </c>
      <c r="P98" s="113">
        <f t="shared" ref="P98:P109" si="26">N98-N97</f>
        <v>-14846939</v>
      </c>
      <c r="Q98" s="84">
        <v>0</v>
      </c>
    </row>
    <row r="99" spans="9:20">
      <c r="I99" s="214"/>
      <c r="J99" s="113">
        <f t="shared" si="19"/>
        <v>6285999</v>
      </c>
      <c r="K99" s="214" t="s">
        <v>4937</v>
      </c>
      <c r="L99" s="84">
        <v>704300034</v>
      </c>
      <c r="M99" s="84">
        <v>315795916</v>
      </c>
      <c r="N99" s="113">
        <f t="shared" si="24"/>
        <v>1020095950</v>
      </c>
      <c r="O99" s="113">
        <f t="shared" si="25"/>
        <v>972544</v>
      </c>
      <c r="P99" s="113">
        <f t="shared" si="26"/>
        <v>7258543</v>
      </c>
      <c r="Q99" s="84">
        <v>0</v>
      </c>
    </row>
    <row r="100" spans="9:20">
      <c r="I100" s="214"/>
      <c r="J100" s="113">
        <f t="shared" si="19"/>
        <v>17278812</v>
      </c>
      <c r="K100" s="214" t="s">
        <v>4939</v>
      </c>
      <c r="L100" s="84">
        <v>721578846</v>
      </c>
      <c r="M100" s="84">
        <v>322263065</v>
      </c>
      <c r="N100" s="113">
        <f t="shared" si="24"/>
        <v>1043841911</v>
      </c>
      <c r="O100" s="113">
        <f t="shared" si="25"/>
        <v>6467149</v>
      </c>
      <c r="P100" s="113">
        <f t="shared" si="26"/>
        <v>23745961</v>
      </c>
      <c r="Q100" s="84">
        <v>0</v>
      </c>
    </row>
    <row r="101" spans="9:20">
      <c r="I101" s="214"/>
      <c r="J101" s="113">
        <f t="shared" si="19"/>
        <v>287745</v>
      </c>
      <c r="K101" s="214" t="s">
        <v>4940</v>
      </c>
      <c r="L101" s="84">
        <v>721866591</v>
      </c>
      <c r="M101" s="84">
        <v>321203407</v>
      </c>
      <c r="N101" s="113">
        <f t="shared" si="24"/>
        <v>1043069998</v>
      </c>
      <c r="O101" s="113">
        <f t="shared" si="25"/>
        <v>-1059658</v>
      </c>
      <c r="P101" s="113">
        <f t="shared" si="26"/>
        <v>-771913</v>
      </c>
      <c r="Q101" s="84">
        <v>0</v>
      </c>
    </row>
    <row r="102" spans="9:20">
      <c r="I102" s="214"/>
      <c r="J102" s="113">
        <f t="shared" si="19"/>
        <v>-5866591</v>
      </c>
      <c r="K102" s="214" t="s">
        <v>4943</v>
      </c>
      <c r="L102" s="84">
        <v>716000000</v>
      </c>
      <c r="M102" s="84">
        <v>319000000</v>
      </c>
      <c r="N102" s="113">
        <f t="shared" si="24"/>
        <v>1035000000</v>
      </c>
      <c r="O102" s="113">
        <f t="shared" si="25"/>
        <v>-2203407</v>
      </c>
      <c r="P102" s="113">
        <f t="shared" si="26"/>
        <v>-8069998</v>
      </c>
      <c r="Q102" s="84">
        <v>0</v>
      </c>
    </row>
    <row r="103" spans="9:20">
      <c r="I103" s="214"/>
      <c r="J103" s="113">
        <f t="shared" si="19"/>
        <v>288384</v>
      </c>
      <c r="K103" s="214" t="s">
        <v>4942</v>
      </c>
      <c r="L103" s="84">
        <v>716288384</v>
      </c>
      <c r="M103" s="84">
        <v>320388494</v>
      </c>
      <c r="N103" s="113">
        <f t="shared" si="24"/>
        <v>1036676878</v>
      </c>
      <c r="O103" s="113">
        <f t="shared" si="25"/>
        <v>1388494</v>
      </c>
      <c r="P103" s="113">
        <f t="shared" si="26"/>
        <v>1676878</v>
      </c>
      <c r="Q103" s="84">
        <v>0</v>
      </c>
    </row>
    <row r="104" spans="9:20">
      <c r="I104" s="191" t="s">
        <v>4989</v>
      </c>
      <c r="J104" s="197">
        <f>L104-L103-1400000</f>
        <v>-1688384</v>
      </c>
      <c r="K104" s="191" t="s">
        <v>4986</v>
      </c>
      <c r="L104" s="242">
        <v>716000000</v>
      </c>
      <c r="M104" s="242">
        <v>322000000</v>
      </c>
      <c r="N104" s="197">
        <f t="shared" si="24"/>
        <v>1038000000</v>
      </c>
      <c r="O104" s="197">
        <f t="shared" si="25"/>
        <v>1611506</v>
      </c>
      <c r="P104" s="197">
        <f>N104-N103-1400000</f>
        <v>-76878</v>
      </c>
      <c r="Q104" s="84">
        <v>1400000</v>
      </c>
    </row>
    <row r="105" spans="9:20">
      <c r="I105" s="214"/>
      <c r="J105" s="113">
        <f t="shared" si="19"/>
        <v>8529471</v>
      </c>
      <c r="K105" s="214" t="s">
        <v>4988</v>
      </c>
      <c r="L105" s="84">
        <v>724529471</v>
      </c>
      <c r="M105" s="84">
        <v>326836192</v>
      </c>
      <c r="N105" s="113">
        <f t="shared" si="24"/>
        <v>1051365663</v>
      </c>
      <c r="O105" s="113">
        <f t="shared" si="25"/>
        <v>4836192</v>
      </c>
      <c r="P105" s="113">
        <f t="shared" si="26"/>
        <v>13365663</v>
      </c>
      <c r="Q105" s="84">
        <v>0</v>
      </c>
    </row>
    <row r="106" spans="9:20">
      <c r="I106" s="190" t="s">
        <v>4991</v>
      </c>
      <c r="J106" s="189">
        <f>L106-L105-1550000</f>
        <v>16319322</v>
      </c>
      <c r="K106" s="190" t="s">
        <v>4990</v>
      </c>
      <c r="L106" s="240">
        <v>742398793</v>
      </c>
      <c r="M106" s="240">
        <v>333388204</v>
      </c>
      <c r="N106" s="189">
        <f t="shared" si="24"/>
        <v>1075786997</v>
      </c>
      <c r="O106" s="189">
        <f>M106-M105-1550000</f>
        <v>5002012</v>
      </c>
      <c r="P106" s="189">
        <f>N106-N105-3100000</f>
        <v>21321334</v>
      </c>
      <c r="Q106" s="84">
        <v>3100000</v>
      </c>
    </row>
    <row r="107" spans="9:20">
      <c r="I107" s="214"/>
      <c r="J107" s="113">
        <f t="shared" si="19"/>
        <v>7585832</v>
      </c>
      <c r="K107" s="214" t="s">
        <v>4992</v>
      </c>
      <c r="L107" s="84">
        <v>749984625</v>
      </c>
      <c r="M107" s="84">
        <v>336802679</v>
      </c>
      <c r="N107" s="113">
        <f t="shared" si="24"/>
        <v>1086787304</v>
      </c>
      <c r="O107" s="113">
        <f t="shared" si="25"/>
        <v>3414475</v>
      </c>
      <c r="P107" s="113">
        <f t="shared" si="26"/>
        <v>11000307</v>
      </c>
      <c r="Q107" s="84">
        <v>0</v>
      </c>
    </row>
    <row r="108" spans="9:20">
      <c r="I108" s="190" t="s">
        <v>4995</v>
      </c>
      <c r="J108" s="189">
        <f>L108-L107-250000</f>
        <v>9825827</v>
      </c>
      <c r="K108" s="190" t="s">
        <v>4935</v>
      </c>
      <c r="L108" s="240">
        <v>760060452</v>
      </c>
      <c r="M108" s="240">
        <v>342834562</v>
      </c>
      <c r="N108" s="189">
        <f t="shared" si="24"/>
        <v>1102895014</v>
      </c>
      <c r="O108" s="189">
        <f t="shared" si="25"/>
        <v>6031883</v>
      </c>
      <c r="P108" s="189">
        <f>N108-N107-250000</f>
        <v>15857710</v>
      </c>
      <c r="Q108" s="84">
        <v>250000</v>
      </c>
    </row>
    <row r="109" spans="9:20">
      <c r="I109" s="214"/>
      <c r="J109" s="113">
        <f t="shared" si="19"/>
        <v>4204925</v>
      </c>
      <c r="K109" s="214" t="s">
        <v>4996</v>
      </c>
      <c r="L109" s="84">
        <v>764265377</v>
      </c>
      <c r="M109" s="84">
        <v>346850621</v>
      </c>
      <c r="N109" s="35">
        <f t="shared" si="24"/>
        <v>1111115998</v>
      </c>
      <c r="O109" s="113">
        <f t="shared" si="25"/>
        <v>4016059</v>
      </c>
      <c r="P109" s="113">
        <f t="shared" si="26"/>
        <v>8220984</v>
      </c>
      <c r="Q109" s="84">
        <v>0</v>
      </c>
    </row>
    <row r="110" spans="9:20" ht="45">
      <c r="I110" s="249" t="s">
        <v>5004</v>
      </c>
      <c r="J110" s="250">
        <f>L110-L109+48527480</f>
        <v>-4646184</v>
      </c>
      <c r="K110" s="217" t="s">
        <v>5000</v>
      </c>
      <c r="L110" s="251">
        <v>711091713</v>
      </c>
      <c r="M110" s="251">
        <v>365802118</v>
      </c>
      <c r="N110" s="250">
        <f t="shared" si="24"/>
        <v>1076893831</v>
      </c>
      <c r="O110" s="250">
        <f>M110-M109+2668880-50000000</f>
        <v>-28379623</v>
      </c>
      <c r="P110" s="250">
        <f>N110-N109-50000000+48527480+2668880</f>
        <v>-33025807</v>
      </c>
      <c r="Q110" s="84">
        <v>-1196360</v>
      </c>
    </row>
    <row r="111" spans="9:20">
      <c r="I111" s="214"/>
      <c r="J111" s="113">
        <f t="shared" si="19"/>
        <v>12126436</v>
      </c>
      <c r="K111" s="214" t="s">
        <v>5006</v>
      </c>
      <c r="L111" s="84">
        <v>723218149</v>
      </c>
      <c r="M111" s="84">
        <v>378192152</v>
      </c>
      <c r="N111" s="113">
        <f t="shared" ref="N111:N126" si="27">L111+M111</f>
        <v>1101410301</v>
      </c>
      <c r="O111" s="113">
        <f t="shared" ref="O111:O126" si="28">M111-M110</f>
        <v>12390034</v>
      </c>
      <c r="P111" s="113">
        <f t="shared" ref="P111:P126" si="29">N111-N110</f>
        <v>24516470</v>
      </c>
      <c r="Q111" s="84">
        <v>0</v>
      </c>
    </row>
    <row r="112" spans="9:20">
      <c r="I112" s="190" t="s">
        <v>5012</v>
      </c>
      <c r="J112" s="189">
        <f t="shared" si="19"/>
        <v>-11559770</v>
      </c>
      <c r="K112" s="190" t="s">
        <v>5007</v>
      </c>
      <c r="L112" s="240">
        <v>711658379</v>
      </c>
      <c r="M112" s="240">
        <v>375825031</v>
      </c>
      <c r="N112" s="189">
        <f t="shared" si="27"/>
        <v>1087483410</v>
      </c>
      <c r="O112" s="189">
        <f>M112-M111-400000</f>
        <v>-2767121</v>
      </c>
      <c r="P112" s="189">
        <f>N112-N111-400000</f>
        <v>-14326891</v>
      </c>
      <c r="Q112" s="84">
        <v>400000</v>
      </c>
      <c r="T112" t="s">
        <v>25</v>
      </c>
    </row>
    <row r="113" spans="9:19">
      <c r="I113" s="214" t="s">
        <v>5016</v>
      </c>
      <c r="J113" s="113">
        <f t="shared" si="19"/>
        <v>-47970668</v>
      </c>
      <c r="K113" s="214" t="s">
        <v>5014</v>
      </c>
      <c r="L113" s="84">
        <v>663687711</v>
      </c>
      <c r="M113" s="84">
        <v>375638602</v>
      </c>
      <c r="N113" s="113">
        <f t="shared" si="27"/>
        <v>1039326313</v>
      </c>
      <c r="O113" s="113">
        <f t="shared" si="28"/>
        <v>-186429</v>
      </c>
      <c r="P113" s="113">
        <f t="shared" si="29"/>
        <v>-48157097</v>
      </c>
      <c r="Q113" s="84">
        <v>0</v>
      </c>
      <c r="S113" t="s">
        <v>25</v>
      </c>
    </row>
    <row r="114" spans="9:19">
      <c r="I114" s="214"/>
      <c r="J114" s="113">
        <f t="shared" si="19"/>
        <v>9507166</v>
      </c>
      <c r="K114" s="214" t="s">
        <v>5023</v>
      </c>
      <c r="L114" s="84">
        <v>673194877</v>
      </c>
      <c r="M114" s="84">
        <v>380477962</v>
      </c>
      <c r="N114" s="113">
        <f t="shared" si="27"/>
        <v>1053672839</v>
      </c>
      <c r="O114" s="113">
        <f t="shared" si="28"/>
        <v>4839360</v>
      </c>
      <c r="P114" s="113">
        <f t="shared" si="29"/>
        <v>14346526</v>
      </c>
      <c r="Q114" s="84">
        <v>0</v>
      </c>
    </row>
    <row r="115" spans="9:19">
      <c r="I115" s="214"/>
      <c r="J115" s="113">
        <f t="shared" si="19"/>
        <v>351502</v>
      </c>
      <c r="K115" s="214" t="s">
        <v>5025</v>
      </c>
      <c r="L115" s="84">
        <v>673546379</v>
      </c>
      <c r="M115" s="84">
        <v>385390359</v>
      </c>
      <c r="N115" s="113">
        <f t="shared" si="27"/>
        <v>1058936738</v>
      </c>
      <c r="O115" s="113">
        <f t="shared" si="28"/>
        <v>4912397</v>
      </c>
      <c r="P115" s="113">
        <f t="shared" si="29"/>
        <v>5263899</v>
      </c>
      <c r="Q115" s="84">
        <v>0</v>
      </c>
    </row>
    <row r="116" spans="9:19">
      <c r="I116" s="190" t="s">
        <v>5028</v>
      </c>
      <c r="J116" s="189">
        <f t="shared" si="19"/>
        <v>-3653734</v>
      </c>
      <c r="K116" s="190" t="s">
        <v>5026</v>
      </c>
      <c r="L116" s="240">
        <v>669892645</v>
      </c>
      <c r="M116" s="240">
        <v>383350206</v>
      </c>
      <c r="N116" s="189">
        <f>L116+M116</f>
        <v>1053242851</v>
      </c>
      <c r="O116" s="189">
        <f>M116-M115-2000000</f>
        <v>-4040153</v>
      </c>
      <c r="P116" s="189">
        <f>N116-N115-2000000</f>
        <v>-7693887</v>
      </c>
      <c r="Q116" s="84">
        <v>2000000</v>
      </c>
    </row>
    <row r="117" spans="9:19">
      <c r="I117" s="190" t="s">
        <v>5031</v>
      </c>
      <c r="J117" s="189">
        <f t="shared" si="19"/>
        <v>-492645</v>
      </c>
      <c r="K117" s="190" t="s">
        <v>5029</v>
      </c>
      <c r="L117" s="240">
        <v>669400000</v>
      </c>
      <c r="M117" s="240">
        <v>385000000</v>
      </c>
      <c r="N117" s="189">
        <f t="shared" si="27"/>
        <v>1054400000</v>
      </c>
      <c r="O117" s="189">
        <f>M117-M116-100000</f>
        <v>1549794</v>
      </c>
      <c r="P117" s="189">
        <f>N117-N116-100000</f>
        <v>1057149</v>
      </c>
      <c r="Q117" s="84">
        <v>100000</v>
      </c>
    </row>
    <row r="118" spans="9:19">
      <c r="I118" s="214"/>
      <c r="J118" s="113">
        <f t="shared" si="19"/>
        <v>7765061</v>
      </c>
      <c r="K118" s="214" t="s">
        <v>5032</v>
      </c>
      <c r="L118" s="84">
        <v>677165061</v>
      </c>
      <c r="M118" s="84">
        <v>392704452</v>
      </c>
      <c r="N118" s="113">
        <f t="shared" si="27"/>
        <v>1069869513</v>
      </c>
      <c r="O118" s="113">
        <f t="shared" si="28"/>
        <v>7704452</v>
      </c>
      <c r="P118" s="113">
        <f t="shared" si="29"/>
        <v>15469513</v>
      </c>
      <c r="Q118" s="84">
        <v>0</v>
      </c>
    </row>
    <row r="119" spans="9:19">
      <c r="I119" s="214"/>
      <c r="J119" s="113">
        <f t="shared" si="19"/>
        <v>7834939</v>
      </c>
      <c r="K119" s="214" t="s">
        <v>5033</v>
      </c>
      <c r="L119" s="84">
        <v>685000000</v>
      </c>
      <c r="M119" s="84">
        <v>395000000</v>
      </c>
      <c r="N119" s="113">
        <f t="shared" si="27"/>
        <v>1080000000</v>
      </c>
      <c r="O119" s="113">
        <f t="shared" si="28"/>
        <v>2295548</v>
      </c>
      <c r="P119" s="113">
        <f t="shared" si="29"/>
        <v>10130487</v>
      </c>
      <c r="Q119" s="84">
        <v>0</v>
      </c>
    </row>
    <row r="120" spans="9:19">
      <c r="I120" s="190" t="s">
        <v>5038</v>
      </c>
      <c r="J120" s="189">
        <f>L120-L119-2100000</f>
        <v>2603523</v>
      </c>
      <c r="K120" s="190" t="s">
        <v>5035</v>
      </c>
      <c r="L120" s="240">
        <v>689703523</v>
      </c>
      <c r="M120" s="240">
        <v>399879880</v>
      </c>
      <c r="N120" s="189">
        <f t="shared" si="27"/>
        <v>1089583403</v>
      </c>
      <c r="O120" s="189">
        <f t="shared" si="28"/>
        <v>4879880</v>
      </c>
      <c r="P120" s="189">
        <f>N120-N119-2100000</f>
        <v>7483403</v>
      </c>
      <c r="Q120" s="84">
        <v>2100000</v>
      </c>
    </row>
    <row r="121" spans="9:19">
      <c r="I121" s="190" t="s">
        <v>5049</v>
      </c>
      <c r="J121" s="189">
        <f>L121-L120-100000</f>
        <v>1223636</v>
      </c>
      <c r="K121" s="190" t="s">
        <v>5043</v>
      </c>
      <c r="L121" s="240">
        <v>691027159</v>
      </c>
      <c r="M121" s="240">
        <v>401920713</v>
      </c>
      <c r="N121" s="189">
        <f t="shared" si="27"/>
        <v>1092947872</v>
      </c>
      <c r="O121" s="189">
        <f>M121-M120-100000</f>
        <v>1940833</v>
      </c>
      <c r="P121" s="189">
        <f>N121-N120-200000</f>
        <v>3164469</v>
      </c>
      <c r="Q121" s="84">
        <v>200000</v>
      </c>
    </row>
    <row r="122" spans="9:19">
      <c r="I122" s="214"/>
      <c r="J122" s="113">
        <f t="shared" si="19"/>
        <v>-691027159</v>
      </c>
      <c r="K122" s="214"/>
      <c r="L122" s="84"/>
      <c r="M122" s="84"/>
      <c r="N122" s="113">
        <f t="shared" si="27"/>
        <v>0</v>
      </c>
      <c r="O122" s="113">
        <f t="shared" si="28"/>
        <v>-401920713</v>
      </c>
      <c r="P122" s="113">
        <f t="shared" si="29"/>
        <v>-1092947872</v>
      </c>
    </row>
    <row r="123" spans="9:19">
      <c r="I123" s="214"/>
      <c r="J123" s="113">
        <f t="shared" si="19"/>
        <v>0</v>
      </c>
      <c r="K123" s="214"/>
      <c r="L123" s="84"/>
      <c r="M123" s="84"/>
      <c r="N123" s="113">
        <f t="shared" si="27"/>
        <v>0</v>
      </c>
      <c r="O123" s="113">
        <f t="shared" si="28"/>
        <v>0</v>
      </c>
      <c r="P123" s="113">
        <f t="shared" si="29"/>
        <v>0</v>
      </c>
    </row>
    <row r="124" spans="9:19">
      <c r="I124" s="214"/>
      <c r="J124" s="113">
        <f t="shared" si="19"/>
        <v>0</v>
      </c>
      <c r="K124" s="214"/>
      <c r="L124" s="84"/>
      <c r="M124" s="84"/>
      <c r="N124" s="113">
        <f t="shared" si="27"/>
        <v>0</v>
      </c>
      <c r="O124" s="113">
        <f t="shared" si="28"/>
        <v>0</v>
      </c>
      <c r="P124" s="113">
        <f t="shared" si="29"/>
        <v>0</v>
      </c>
    </row>
    <row r="125" spans="9:19">
      <c r="I125" s="214"/>
      <c r="J125" s="113">
        <f t="shared" si="19"/>
        <v>0</v>
      </c>
      <c r="K125" s="214"/>
      <c r="L125" s="84"/>
      <c r="M125" s="84"/>
      <c r="N125" s="113">
        <f t="shared" si="27"/>
        <v>0</v>
      </c>
      <c r="O125" s="113">
        <f t="shared" si="28"/>
        <v>0</v>
      </c>
      <c r="P125" s="113">
        <f t="shared" si="29"/>
        <v>0</v>
      </c>
    </row>
    <row r="126" spans="9:19">
      <c r="I126" s="214"/>
      <c r="J126" s="113">
        <f t="shared" si="19"/>
        <v>0</v>
      </c>
      <c r="K126" s="214"/>
      <c r="L126" s="84">
        <v>0</v>
      </c>
      <c r="M126" s="84"/>
      <c r="N126" s="214">
        <f t="shared" si="27"/>
        <v>0</v>
      </c>
      <c r="O126" s="113">
        <f t="shared" si="28"/>
        <v>0</v>
      </c>
      <c r="P126" s="113">
        <f t="shared" si="29"/>
        <v>0</v>
      </c>
    </row>
    <row r="129" spans="12:16">
      <c r="O129" t="s">
        <v>25</v>
      </c>
    </row>
    <row r="130" spans="12:16">
      <c r="L130" t="s">
        <v>25</v>
      </c>
      <c r="N130" t="s">
        <v>25</v>
      </c>
      <c r="O130" t="s">
        <v>25</v>
      </c>
    </row>
    <row r="131" spans="12:16">
      <c r="P131" t="s">
        <v>25</v>
      </c>
    </row>
    <row r="132" spans="12:16">
      <c r="N132" t="s">
        <v>25</v>
      </c>
    </row>
    <row r="133" spans="12:16">
      <c r="N133" t="s">
        <v>25</v>
      </c>
      <c r="O133" t="s">
        <v>25</v>
      </c>
    </row>
    <row r="135" spans="12:16">
      <c r="N135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 O112:P112 O116:P116 J120 P120 O1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4434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4540</v>
      </c>
      <c r="Z2" s="99" t="s">
        <v>4598</v>
      </c>
      <c r="AA2" s="99" t="s">
        <v>4596</v>
      </c>
      <c r="AB2" s="99" t="s">
        <v>4597</v>
      </c>
      <c r="AC2" s="99" t="s">
        <v>4600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4602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4599</v>
      </c>
      <c r="Z4" s="99">
        <v>1</v>
      </c>
      <c r="AA4" s="99">
        <v>1</v>
      </c>
      <c r="AB4" s="99">
        <f t="shared" si="0"/>
        <v>1</v>
      </c>
      <c r="AC4" s="99" t="s">
        <v>4601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4585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4573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4774</v>
      </c>
      <c r="B44" s="113">
        <v>-31000</v>
      </c>
      <c r="C44" s="99" t="s">
        <v>4784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4865</v>
      </c>
      <c r="B45" s="113">
        <v>2060725</v>
      </c>
      <c r="C45" s="99" t="s">
        <v>4868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4891</v>
      </c>
      <c r="B46" s="113">
        <v>-1073169</v>
      </c>
      <c r="C46" s="99" t="s">
        <v>4892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4883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4883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4896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4901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4902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4908</v>
      </c>
      <c r="B52" s="113">
        <v>-195330</v>
      </c>
      <c r="C52" s="99" t="s">
        <v>4915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4920</v>
      </c>
      <c r="B53" s="113">
        <v>-140730</v>
      </c>
      <c r="C53" s="99" t="s">
        <v>4924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4922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4922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4926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4829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4829</v>
      </c>
      <c r="I46" s="11">
        <v>248200</v>
      </c>
      <c r="J46" s="11" t="s">
        <v>4839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D31" sqref="D31"/>
    </sheetView>
  </sheetViews>
  <sheetFormatPr defaultRowHeight="15"/>
  <cols>
    <col min="1" max="1" width="15.42578125" bestFit="1" customWidth="1"/>
    <col min="2" max="2" width="16.140625" bestFit="1" customWidth="1"/>
    <col min="3" max="3" width="14.140625" bestFit="1" customWidth="1"/>
    <col min="4" max="4" width="16.1406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4965</v>
      </c>
      <c r="B1" s="99" t="s">
        <v>4966</v>
      </c>
      <c r="C1" s="99" t="s">
        <v>4967</v>
      </c>
      <c r="D1" s="99" t="s">
        <v>4968</v>
      </c>
      <c r="E1" s="99" t="s">
        <v>4978</v>
      </c>
      <c r="F1" s="99" t="s">
        <v>4977</v>
      </c>
      <c r="G1" s="99"/>
      <c r="I1" t="s">
        <v>4970</v>
      </c>
      <c r="J1" t="s">
        <v>4974</v>
      </c>
      <c r="K1" t="s">
        <v>4975</v>
      </c>
    </row>
    <row r="2" spans="1:11">
      <c r="A2" s="99" t="s">
        <v>4969</v>
      </c>
      <c r="B2" s="99">
        <v>1120643604</v>
      </c>
      <c r="C2" s="99">
        <v>830</v>
      </c>
      <c r="D2" s="99">
        <f>B2*C2/$I$2</f>
        <v>12.918530434999999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4971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4972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4973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4969</v>
      </c>
      <c r="B7" s="99">
        <v>1124709340</v>
      </c>
      <c r="C7" s="99">
        <f>C2</f>
        <v>830</v>
      </c>
      <c r="D7" s="99">
        <f>B7*C7*$J$3/$I$2</f>
        <v>8.7423472749789308</v>
      </c>
      <c r="E7" s="99">
        <v>0</v>
      </c>
      <c r="F7" s="99">
        <f>B7*E7*$J$3/$I$2</f>
        <v>0</v>
      </c>
      <c r="G7" s="99"/>
    </row>
    <row r="8" spans="1:11">
      <c r="A8" s="99" t="s">
        <v>4976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4973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4979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4980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4981</v>
      </c>
      <c r="B12" s="99">
        <v>1886721602</v>
      </c>
      <c r="C12" s="99">
        <v>350</v>
      </c>
      <c r="D12" s="99">
        <f t="shared" si="1"/>
        <v>6.1842284777252505</v>
      </c>
      <c r="E12" s="99"/>
      <c r="F12" s="99">
        <f t="shared" si="2"/>
        <v>0</v>
      </c>
      <c r="G12" s="99"/>
    </row>
    <row r="13" spans="1:11">
      <c r="A13" s="99" t="s">
        <v>4982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4394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4983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66.099131268496876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  <row r="28" spans="1:7">
      <c r="C28">
        <v>2.23E-2</v>
      </c>
      <c r="D28">
        <f>C28*12</f>
        <v>0.2676</v>
      </c>
    </row>
    <row r="29" spans="1:7">
      <c r="C29" t="s">
        <v>5041</v>
      </c>
      <c r="D29" t="s">
        <v>5040</v>
      </c>
    </row>
    <row r="30" spans="1:7">
      <c r="A30">
        <v>0</v>
      </c>
      <c r="B30" s="18">
        <v>150000000</v>
      </c>
      <c r="C30" s="18">
        <v>0</v>
      </c>
      <c r="D30" s="18">
        <f>B30-C30</f>
        <v>150000000</v>
      </c>
    </row>
    <row r="31" spans="1:7">
      <c r="A31">
        <v>1</v>
      </c>
      <c r="B31" s="18">
        <v>0</v>
      </c>
      <c r="C31" s="18">
        <v>5000000</v>
      </c>
      <c r="D31" s="18">
        <f>D30*(1+$C$28)-C31</f>
        <v>148345000</v>
      </c>
    </row>
    <row r="32" spans="1:7">
      <c r="A32">
        <v>2</v>
      </c>
      <c r="B32" s="18">
        <v>0</v>
      </c>
      <c r="C32" s="18">
        <v>5000000</v>
      </c>
      <c r="D32" s="18">
        <f t="shared" ref="D32:D80" si="3">D31*(1+$C$28)-C32</f>
        <v>146653093.5</v>
      </c>
    </row>
    <row r="33" spans="1:4">
      <c r="A33" s="96">
        <v>3</v>
      </c>
      <c r="B33" s="18"/>
      <c r="C33" s="18">
        <v>5000000</v>
      </c>
      <c r="D33" s="18">
        <f t="shared" si="3"/>
        <v>144923457.48504999</v>
      </c>
    </row>
    <row r="34" spans="1:4">
      <c r="A34" s="96">
        <v>4</v>
      </c>
      <c r="B34" s="18"/>
      <c r="C34" s="18">
        <v>5000000</v>
      </c>
      <c r="D34" s="18">
        <f>D33*(1+$C$28)-C34</f>
        <v>143155250.5869666</v>
      </c>
    </row>
    <row r="35" spans="1:4">
      <c r="A35" s="96">
        <v>5</v>
      </c>
      <c r="B35" s="18"/>
      <c r="C35" s="18">
        <v>5000000</v>
      </c>
      <c r="D35" s="18">
        <f t="shared" si="3"/>
        <v>141347612.67505595</v>
      </c>
    </row>
    <row r="36" spans="1:4">
      <c r="A36" s="96">
        <v>6</v>
      </c>
      <c r="B36" s="18"/>
      <c r="C36" s="18">
        <v>5000000</v>
      </c>
      <c r="D36" s="18">
        <f t="shared" si="3"/>
        <v>139499664.43770969</v>
      </c>
    </row>
    <row r="37" spans="1:4">
      <c r="A37" s="96">
        <v>7</v>
      </c>
      <c r="B37" s="18"/>
      <c r="C37" s="18">
        <v>5000000</v>
      </c>
      <c r="D37" s="18">
        <f t="shared" si="3"/>
        <v>137610506.95467061</v>
      </c>
    </row>
    <row r="38" spans="1:4">
      <c r="A38" s="96">
        <v>8</v>
      </c>
      <c r="B38" s="18"/>
      <c r="C38" s="18">
        <v>5000000</v>
      </c>
      <c r="D38" s="18">
        <f t="shared" si="3"/>
        <v>135679221.25975975</v>
      </c>
    </row>
    <row r="39" spans="1:4">
      <c r="A39" s="96">
        <v>9</v>
      </c>
      <c r="B39" s="18"/>
      <c r="C39" s="18">
        <v>5000000</v>
      </c>
      <c r="D39" s="18">
        <f t="shared" si="3"/>
        <v>133704867.89385238</v>
      </c>
    </row>
    <row r="40" spans="1:4">
      <c r="A40" s="96">
        <v>10</v>
      </c>
      <c r="B40" s="18"/>
      <c r="C40" s="18">
        <v>5000000</v>
      </c>
      <c r="D40" s="18">
        <f t="shared" si="3"/>
        <v>131686486.44788527</v>
      </c>
    </row>
    <row r="41" spans="1:4">
      <c r="A41" s="96">
        <v>11</v>
      </c>
      <c r="B41" s="18"/>
      <c r="C41" s="18">
        <v>5000000</v>
      </c>
      <c r="D41" s="18">
        <f t="shared" si="3"/>
        <v>129623095.09567311</v>
      </c>
    </row>
    <row r="42" spans="1:4">
      <c r="A42" s="96">
        <v>12</v>
      </c>
      <c r="B42" s="18"/>
      <c r="C42" s="18">
        <v>5000000</v>
      </c>
      <c r="D42" s="18">
        <f t="shared" si="3"/>
        <v>127513690.11630662</v>
      </c>
    </row>
    <row r="43" spans="1:4">
      <c r="A43" s="96">
        <v>13</v>
      </c>
      <c r="B43" s="18"/>
      <c r="C43" s="18">
        <v>5000000</v>
      </c>
      <c r="D43" s="18">
        <f t="shared" si="3"/>
        <v>125357245.40590025</v>
      </c>
    </row>
    <row r="44" spans="1:4">
      <c r="A44" s="96">
        <v>14</v>
      </c>
      <c r="B44" s="18"/>
      <c r="C44" s="18">
        <v>5000000</v>
      </c>
      <c r="D44" s="18">
        <f t="shared" si="3"/>
        <v>123152711.97845183</v>
      </c>
    </row>
    <row r="45" spans="1:4">
      <c r="A45" s="96">
        <v>15</v>
      </c>
      <c r="B45" s="18"/>
      <c r="C45" s="18">
        <v>5000000</v>
      </c>
      <c r="D45" s="18">
        <f t="shared" si="3"/>
        <v>120899017.45557131</v>
      </c>
    </row>
    <row r="46" spans="1:4">
      <c r="A46" s="96">
        <v>16</v>
      </c>
      <c r="B46" s="18"/>
      <c r="C46" s="18">
        <v>5000000</v>
      </c>
      <c r="D46" s="18">
        <f t="shared" si="3"/>
        <v>118595065.54483055</v>
      </c>
    </row>
    <row r="47" spans="1:4">
      <c r="A47" s="96">
        <v>17</v>
      </c>
      <c r="B47" s="18"/>
      <c r="C47" s="18">
        <v>5000000</v>
      </c>
      <c r="D47" s="18">
        <f t="shared" si="3"/>
        <v>116239735.50648026</v>
      </c>
    </row>
    <row r="48" spans="1:4">
      <c r="A48" s="96">
        <v>18</v>
      </c>
      <c r="B48" s="18"/>
      <c r="C48" s="18">
        <v>5000000</v>
      </c>
      <c r="D48" s="18">
        <f t="shared" si="3"/>
        <v>113831881.60827477</v>
      </c>
    </row>
    <row r="49" spans="1:4">
      <c r="A49" s="96">
        <v>19</v>
      </c>
      <c r="B49" s="18"/>
      <c r="C49" s="18">
        <v>5000000</v>
      </c>
      <c r="D49" s="18">
        <f t="shared" si="3"/>
        <v>111370332.5681393</v>
      </c>
    </row>
    <row r="50" spans="1:4">
      <c r="A50" s="96">
        <v>20</v>
      </c>
      <c r="B50" s="18"/>
      <c r="C50" s="18">
        <v>5000000</v>
      </c>
      <c r="D50" s="18">
        <f t="shared" si="3"/>
        <v>108853890.98440881</v>
      </c>
    </row>
    <row r="51" spans="1:4">
      <c r="A51" s="96">
        <v>21</v>
      </c>
      <c r="B51" s="18"/>
      <c r="C51" s="18">
        <v>5000000</v>
      </c>
      <c r="D51" s="18">
        <f t="shared" si="3"/>
        <v>106281332.75336112</v>
      </c>
    </row>
    <row r="52" spans="1:4">
      <c r="A52" s="96">
        <v>22</v>
      </c>
      <c r="B52" s="18"/>
      <c r="C52" s="18">
        <v>5000000</v>
      </c>
      <c r="D52" s="18">
        <f t="shared" si="3"/>
        <v>103651406.47376107</v>
      </c>
    </row>
    <row r="53" spans="1:4">
      <c r="A53" s="96">
        <v>23</v>
      </c>
      <c r="B53" s="18"/>
      <c r="C53" s="18">
        <v>5000000</v>
      </c>
      <c r="D53" s="18">
        <f t="shared" si="3"/>
        <v>100962832.83812594</v>
      </c>
    </row>
    <row r="54" spans="1:4">
      <c r="A54" s="96">
        <v>24</v>
      </c>
      <c r="B54" s="18"/>
      <c r="C54" s="18">
        <v>5000000</v>
      </c>
      <c r="D54" s="18">
        <f t="shared" si="3"/>
        <v>98214304.01041615</v>
      </c>
    </row>
    <row r="55" spans="1:4">
      <c r="A55" s="96">
        <v>25</v>
      </c>
      <c r="B55" s="18"/>
      <c r="C55" s="18">
        <v>5000000</v>
      </c>
      <c r="D55" s="18">
        <f t="shared" si="3"/>
        <v>95404482.989848435</v>
      </c>
    </row>
    <row r="56" spans="1:4">
      <c r="A56" s="96">
        <v>26</v>
      </c>
      <c r="B56" s="18"/>
      <c r="C56" s="18">
        <v>5000000</v>
      </c>
      <c r="D56" s="18">
        <f t="shared" si="3"/>
        <v>92532002.960522056</v>
      </c>
    </row>
    <row r="57" spans="1:4">
      <c r="A57" s="96">
        <v>27</v>
      </c>
      <c r="B57" s="18"/>
      <c r="C57" s="18">
        <v>5000000</v>
      </c>
      <c r="D57" s="18">
        <f t="shared" si="3"/>
        <v>89595466.626541689</v>
      </c>
    </row>
    <row r="58" spans="1:4">
      <c r="A58" s="96">
        <v>28</v>
      </c>
      <c r="B58" s="18"/>
      <c r="C58" s="18">
        <v>5000000</v>
      </c>
      <c r="D58" s="18">
        <f t="shared" si="3"/>
        <v>86593445.53231357</v>
      </c>
    </row>
    <row r="59" spans="1:4">
      <c r="A59" s="96">
        <v>29</v>
      </c>
      <c r="B59" s="18"/>
      <c r="C59" s="18">
        <v>5000000</v>
      </c>
      <c r="D59" s="18">
        <f t="shared" si="3"/>
        <v>83524479.367684156</v>
      </c>
    </row>
    <row r="60" spans="1:4">
      <c r="A60" s="96">
        <v>30</v>
      </c>
      <c r="B60" s="18"/>
      <c r="C60" s="18">
        <v>5000000</v>
      </c>
      <c r="D60" s="18">
        <f t="shared" si="3"/>
        <v>80387075.257583514</v>
      </c>
    </row>
    <row r="61" spans="1:4">
      <c r="A61" s="96">
        <v>31</v>
      </c>
      <c r="B61" s="18"/>
      <c r="C61" s="18">
        <v>5000000</v>
      </c>
      <c r="D61" s="18">
        <f t="shared" si="3"/>
        <v>77179707.035827622</v>
      </c>
    </row>
    <row r="62" spans="1:4">
      <c r="A62" s="96">
        <v>32</v>
      </c>
      <c r="B62" s="18"/>
      <c r="C62" s="18">
        <v>5000000</v>
      </c>
      <c r="D62" s="18">
        <f t="shared" si="3"/>
        <v>73900814.50272657</v>
      </c>
    </row>
    <row r="63" spans="1:4">
      <c r="A63" s="96">
        <v>33</v>
      </c>
      <c r="B63" s="18"/>
      <c r="C63" s="18">
        <v>5000000</v>
      </c>
      <c r="D63" s="18">
        <f t="shared" si="3"/>
        <v>70548802.666137367</v>
      </c>
    </row>
    <row r="64" spans="1:4">
      <c r="A64" s="96">
        <v>34</v>
      </c>
      <c r="B64" s="18"/>
      <c r="C64" s="18">
        <v>5000000</v>
      </c>
      <c r="D64" s="18">
        <f t="shared" si="3"/>
        <v>67122040.965592235</v>
      </c>
    </row>
    <row r="65" spans="1:4">
      <c r="A65" s="96">
        <v>35</v>
      </c>
      <c r="B65" s="18"/>
      <c r="C65" s="18">
        <v>5000000</v>
      </c>
      <c r="D65" s="18">
        <f t="shared" si="3"/>
        <v>63618862.479124948</v>
      </c>
    </row>
    <row r="66" spans="1:4">
      <c r="A66" s="96">
        <v>36</v>
      </c>
      <c r="B66" s="18"/>
      <c r="C66" s="18">
        <v>5000000</v>
      </c>
      <c r="D66" s="18">
        <f t="shared" si="3"/>
        <v>60037563.112409435</v>
      </c>
    </row>
    <row r="67" spans="1:4">
      <c r="A67" s="96">
        <v>37</v>
      </c>
      <c r="B67" s="18"/>
      <c r="C67" s="18">
        <v>5000000</v>
      </c>
      <c r="D67" s="18">
        <f t="shared" si="3"/>
        <v>56376400.769816168</v>
      </c>
    </row>
    <row r="68" spans="1:4">
      <c r="A68" s="96">
        <v>38</v>
      </c>
      <c r="B68" s="18"/>
      <c r="C68" s="18">
        <v>5000000</v>
      </c>
      <c r="D68" s="18">
        <f t="shared" si="3"/>
        <v>52633594.506983064</v>
      </c>
    </row>
    <row r="69" spans="1:4">
      <c r="A69" s="96">
        <v>39</v>
      </c>
      <c r="B69" s="18"/>
      <c r="C69" s="18">
        <v>5000000</v>
      </c>
      <c r="D69" s="18">
        <f t="shared" si="3"/>
        <v>48807323.664488785</v>
      </c>
    </row>
    <row r="70" spans="1:4">
      <c r="A70" s="96">
        <v>40</v>
      </c>
      <c r="B70" s="18"/>
      <c r="C70" s="18">
        <v>5000000</v>
      </c>
      <c r="D70" s="18">
        <f t="shared" si="3"/>
        <v>44895726.982206881</v>
      </c>
    </row>
    <row r="71" spans="1:4">
      <c r="A71" s="96">
        <v>41</v>
      </c>
      <c r="B71" s="18"/>
      <c r="C71" s="18">
        <v>5000000</v>
      </c>
      <c r="D71" s="18">
        <f t="shared" si="3"/>
        <v>40896901.693910092</v>
      </c>
    </row>
    <row r="72" spans="1:4">
      <c r="A72" s="96">
        <v>42</v>
      </c>
      <c r="B72" s="18"/>
      <c r="C72" s="18">
        <v>5000000</v>
      </c>
      <c r="D72" s="18">
        <f t="shared" si="3"/>
        <v>36808902.601684287</v>
      </c>
    </row>
    <row r="73" spans="1:4">
      <c r="A73" s="96">
        <v>43</v>
      </c>
      <c r="B73" s="18"/>
      <c r="C73" s="18">
        <v>5000000</v>
      </c>
      <c r="D73" s="18">
        <f t="shared" si="3"/>
        <v>32629741.129701845</v>
      </c>
    </row>
    <row r="74" spans="1:4">
      <c r="A74" s="96">
        <v>44</v>
      </c>
      <c r="B74" s="18"/>
      <c r="C74" s="18">
        <v>5000000</v>
      </c>
      <c r="D74" s="18">
        <f t="shared" si="3"/>
        <v>28357384.356894195</v>
      </c>
    </row>
    <row r="75" spans="1:4">
      <c r="A75" s="96">
        <v>45</v>
      </c>
      <c r="B75" s="18"/>
      <c r="C75" s="18">
        <v>5000000</v>
      </c>
      <c r="D75" s="18">
        <f t="shared" si="3"/>
        <v>23989754.028052934</v>
      </c>
    </row>
    <row r="76" spans="1:4">
      <c r="A76" s="96">
        <v>46</v>
      </c>
      <c r="B76" s="18"/>
      <c r="C76" s="18">
        <v>5000000</v>
      </c>
      <c r="D76" s="18">
        <f t="shared" si="3"/>
        <v>19524725.542878512</v>
      </c>
    </row>
    <row r="77" spans="1:4">
      <c r="A77" s="96">
        <v>47</v>
      </c>
      <c r="B77" s="18"/>
      <c r="C77" s="18">
        <v>5000000</v>
      </c>
      <c r="D77" s="18">
        <f t="shared" si="3"/>
        <v>14960126.922484703</v>
      </c>
    </row>
    <row r="78" spans="1:4">
      <c r="A78" s="96">
        <v>48</v>
      </c>
      <c r="B78" s="18"/>
      <c r="C78" s="18">
        <v>5000000</v>
      </c>
      <c r="D78" s="18">
        <f t="shared" si="3"/>
        <v>10293737.752856111</v>
      </c>
    </row>
    <row r="79" spans="1:4">
      <c r="A79" s="96">
        <v>49</v>
      </c>
      <c r="B79" s="18"/>
      <c r="C79" s="18">
        <v>5000000</v>
      </c>
      <c r="D79" s="18">
        <f t="shared" si="3"/>
        <v>5523288.1047448032</v>
      </c>
    </row>
    <row r="80" spans="1:4">
      <c r="A80" s="96">
        <v>50</v>
      </c>
      <c r="B80" s="18"/>
      <c r="C80" s="18">
        <v>5000000</v>
      </c>
      <c r="D80" s="18">
        <f t="shared" si="3"/>
        <v>646457.42948061228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4540</v>
      </c>
      <c r="B1" t="s">
        <v>950</v>
      </c>
      <c r="C1" t="s">
        <v>4598</v>
      </c>
      <c r="D1" t="s">
        <v>4946</v>
      </c>
      <c r="E1" t="s">
        <v>4947</v>
      </c>
      <c r="F1" t="s">
        <v>8</v>
      </c>
    </row>
    <row r="2" spans="1:6">
      <c r="A2" t="s">
        <v>4950</v>
      </c>
      <c r="B2">
        <v>237</v>
      </c>
      <c r="C2">
        <v>281</v>
      </c>
      <c r="D2">
        <f>B2/C2</f>
        <v>0.84341637010676151</v>
      </c>
      <c r="E2" t="s">
        <v>4951</v>
      </c>
      <c r="F2" t="s">
        <v>4952</v>
      </c>
    </row>
    <row r="3" spans="1:6">
      <c r="A3" t="s">
        <v>4538</v>
      </c>
      <c r="B3">
        <v>134</v>
      </c>
      <c r="C3">
        <v>193</v>
      </c>
      <c r="D3" s="96">
        <f t="shared" ref="D3:D21" si="0">B3/C3</f>
        <v>0.69430051813471505</v>
      </c>
      <c r="E3" t="s">
        <v>4951</v>
      </c>
      <c r="F3" s="96" t="s">
        <v>4952</v>
      </c>
    </row>
    <row r="4" spans="1:6">
      <c r="A4" t="s">
        <v>4953</v>
      </c>
      <c r="B4">
        <v>195</v>
      </c>
      <c r="C4">
        <v>73</v>
      </c>
      <c r="D4" s="96">
        <f t="shared" si="0"/>
        <v>2.6712328767123288</v>
      </c>
      <c r="E4" t="s">
        <v>4954</v>
      </c>
      <c r="F4" t="s">
        <v>4955</v>
      </c>
    </row>
    <row r="5" spans="1:6">
      <c r="A5" t="s">
        <v>4956</v>
      </c>
      <c r="B5">
        <v>1</v>
      </c>
      <c r="C5">
        <v>1</v>
      </c>
      <c r="D5" s="96">
        <f t="shared" si="0"/>
        <v>1</v>
      </c>
      <c r="E5" t="s">
        <v>4954</v>
      </c>
      <c r="F5" t="s">
        <v>4957</v>
      </c>
    </row>
    <row r="6" spans="1:6">
      <c r="A6" t="s">
        <v>4579</v>
      </c>
      <c r="B6">
        <v>163</v>
      </c>
      <c r="C6">
        <v>232</v>
      </c>
      <c r="D6" s="96">
        <f t="shared" si="0"/>
        <v>0.70258620689655171</v>
      </c>
      <c r="F6" s="96" t="s">
        <v>4952</v>
      </c>
    </row>
    <row r="7" spans="1:6">
      <c r="A7" t="s">
        <v>4958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4959</v>
      </c>
      <c r="B8">
        <v>335</v>
      </c>
      <c r="C8">
        <v>141</v>
      </c>
      <c r="D8" s="96">
        <f t="shared" si="0"/>
        <v>2.375886524822695</v>
      </c>
      <c r="F8" s="96" t="s">
        <v>4957</v>
      </c>
    </row>
    <row r="9" spans="1:6">
      <c r="A9" t="s">
        <v>4828</v>
      </c>
      <c r="B9">
        <v>150</v>
      </c>
      <c r="C9">
        <v>240</v>
      </c>
      <c r="D9" s="96">
        <f t="shared" si="0"/>
        <v>0.625</v>
      </c>
      <c r="F9" t="s">
        <v>4960</v>
      </c>
    </row>
    <row r="10" spans="1:6">
      <c r="A10" t="s">
        <v>4961</v>
      </c>
      <c r="B10">
        <v>187</v>
      </c>
      <c r="C10">
        <v>208</v>
      </c>
      <c r="D10" s="96">
        <f t="shared" si="0"/>
        <v>0.89903846153846156</v>
      </c>
      <c r="F10" t="s">
        <v>4951</v>
      </c>
    </row>
    <row r="11" spans="1:6">
      <c r="A11" t="s">
        <v>4962</v>
      </c>
      <c r="B11">
        <v>412</v>
      </c>
      <c r="C11">
        <v>183</v>
      </c>
      <c r="D11" s="96">
        <f t="shared" si="0"/>
        <v>2.2513661202185791</v>
      </c>
      <c r="F11" s="96" t="s">
        <v>4957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4945</v>
      </c>
      <c r="B21">
        <v>113</v>
      </c>
      <c r="C21">
        <v>215</v>
      </c>
      <c r="D21" s="96">
        <f t="shared" si="0"/>
        <v>0.52558139534883719</v>
      </c>
      <c r="E21" t="s">
        <v>4948</v>
      </c>
      <c r="F21" t="s">
        <v>4949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D51" sqref="D51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4" t="s">
        <v>4884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4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4886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4883</v>
      </c>
      <c r="B4" s="18">
        <v>-960200</v>
      </c>
      <c r="C4" s="18">
        <v>0</v>
      </c>
      <c r="D4" s="113">
        <f t="shared" si="0"/>
        <v>-960200</v>
      </c>
      <c r="E4" s="99" t="s">
        <v>4887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4783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4783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4783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4794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4794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4794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4798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4799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4799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4804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4804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4818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4843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4853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4857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4857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4857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4859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4859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4860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4860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4865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4874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4874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4874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4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4888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4885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4890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4894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4904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4911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4914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4925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4928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4941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4944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4984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4985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4993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>
        <v>2600000</v>
      </c>
      <c r="E57" s="122" t="s">
        <v>5039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7251124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4392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4403</v>
      </c>
      <c r="B18" s="18">
        <v>-4098523</v>
      </c>
      <c r="C18" s="18">
        <v>0</v>
      </c>
      <c r="D18" s="113">
        <f t="shared" si="0"/>
        <v>-4098523</v>
      </c>
      <c r="E18" s="20" t="s">
        <v>4402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4403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4403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4399</v>
      </c>
      <c r="B21" s="18">
        <v>-7500</v>
      </c>
      <c r="C21" s="18">
        <v>0</v>
      </c>
      <c r="D21" s="113">
        <f t="shared" si="0"/>
        <v>-7500</v>
      </c>
      <c r="E21" s="19" t="s">
        <v>4400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4435</v>
      </c>
      <c r="B22" s="18">
        <v>7964</v>
      </c>
      <c r="C22" s="18">
        <v>65497</v>
      </c>
      <c r="D22" s="113">
        <f t="shared" si="0"/>
        <v>-57533</v>
      </c>
      <c r="E22" s="19" t="s">
        <v>4436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4393</v>
      </c>
    </row>
    <row r="82" spans="4:5">
      <c r="D82" s="114">
        <v>-142143</v>
      </c>
      <c r="E82" s="54" t="s">
        <v>4397</v>
      </c>
    </row>
    <row r="83" spans="4:5">
      <c r="D83" s="114">
        <v>-128352</v>
      </c>
      <c r="E83" s="54" t="s">
        <v>4396</v>
      </c>
    </row>
    <row r="84" spans="4:5">
      <c r="D84" s="114">
        <v>-6035000</v>
      </c>
      <c r="E84" s="54" t="s">
        <v>4406</v>
      </c>
    </row>
    <row r="85" spans="4:5">
      <c r="D85" s="114">
        <v>-55957</v>
      </c>
      <c r="E85" s="54" t="s">
        <v>4405</v>
      </c>
    </row>
    <row r="86" spans="4:5">
      <c r="D86" s="114">
        <v>7500</v>
      </c>
      <c r="E86" s="54" t="s">
        <v>4404</v>
      </c>
    </row>
    <row r="87" spans="4:5">
      <c r="D87" s="114">
        <v>1700000</v>
      </c>
      <c r="E87" s="54" t="s">
        <v>4407</v>
      </c>
    </row>
    <row r="88" spans="4:5">
      <c r="D88" s="114">
        <v>129648</v>
      </c>
      <c r="E88" s="54" t="s">
        <v>4408</v>
      </c>
    </row>
    <row r="89" spans="4:5">
      <c r="D89" s="114">
        <v>1000000</v>
      </c>
      <c r="E89" s="54" t="s">
        <v>4411</v>
      </c>
    </row>
    <row r="90" spans="4:5">
      <c r="D90" s="114">
        <v>-53003</v>
      </c>
      <c r="E90" s="54" t="s">
        <v>4412</v>
      </c>
    </row>
    <row r="91" spans="4:5">
      <c r="D91" s="114">
        <v>-23690</v>
      </c>
      <c r="E91" s="54" t="s">
        <v>4412</v>
      </c>
    </row>
    <row r="92" spans="4:5">
      <c r="D92" s="114">
        <v>-216910</v>
      </c>
      <c r="E92" s="54" t="s">
        <v>4413</v>
      </c>
    </row>
    <row r="93" spans="4:5">
      <c r="D93" s="114">
        <v>-30304</v>
      </c>
      <c r="E93" s="54" t="s">
        <v>4417</v>
      </c>
    </row>
    <row r="94" spans="4:5">
      <c r="D94" s="114">
        <v>-10067</v>
      </c>
      <c r="E94" s="54" t="s">
        <v>4418</v>
      </c>
    </row>
    <row r="95" spans="4:5">
      <c r="D95" s="114">
        <v>-16248</v>
      </c>
      <c r="E95" s="54" t="s">
        <v>4420</v>
      </c>
    </row>
    <row r="96" spans="4:5">
      <c r="D96" s="114">
        <v>-87695</v>
      </c>
      <c r="E96" s="54" t="s">
        <v>4421</v>
      </c>
    </row>
    <row r="97" spans="4:7">
      <c r="D97" s="114">
        <v>-29231</v>
      </c>
      <c r="E97" s="54" t="s">
        <v>4422</v>
      </c>
    </row>
    <row r="98" spans="4:7">
      <c r="D98" s="114">
        <v>1000000</v>
      </c>
      <c r="E98" s="54" t="s">
        <v>4423</v>
      </c>
    </row>
    <row r="99" spans="4:7">
      <c r="D99" s="114">
        <v>-35250</v>
      </c>
      <c r="E99" s="54" t="s">
        <v>4424</v>
      </c>
    </row>
    <row r="100" spans="4:7">
      <c r="D100" s="114">
        <v>-57477</v>
      </c>
      <c r="E100" s="54" t="s">
        <v>4425</v>
      </c>
    </row>
    <row r="101" spans="4:7">
      <c r="D101" s="114">
        <v>-13565</v>
      </c>
      <c r="E101" s="54" t="s">
        <v>4426</v>
      </c>
    </row>
    <row r="102" spans="4:7">
      <c r="D102" s="114">
        <v>-9429</v>
      </c>
      <c r="E102" s="54" t="s">
        <v>4427</v>
      </c>
    </row>
    <row r="103" spans="4:7">
      <c r="D103" s="114">
        <v>-600000</v>
      </c>
      <c r="E103" s="54" t="s">
        <v>4428</v>
      </c>
    </row>
    <row r="104" spans="4:7">
      <c r="D104" s="114">
        <v>335</v>
      </c>
      <c r="E104" s="54" t="s">
        <v>4430</v>
      </c>
    </row>
    <row r="105" spans="4:7">
      <c r="D105" s="114">
        <v>31026</v>
      </c>
      <c r="E105" s="54" t="s">
        <v>4431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4429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4437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4439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4444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4446</v>
      </c>
      <c r="B6" s="18">
        <v>3000000</v>
      </c>
      <c r="C6" s="18">
        <v>0</v>
      </c>
      <c r="D6" s="113">
        <f t="shared" si="0"/>
        <v>3000000</v>
      </c>
      <c r="E6" s="19" t="s">
        <v>4447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4443</v>
      </c>
      <c r="B7" s="18">
        <v>-2000700</v>
      </c>
      <c r="C7" s="18">
        <v>0</v>
      </c>
      <c r="D7" s="113">
        <f t="shared" si="0"/>
        <v>-2000700</v>
      </c>
      <c r="E7" s="19" t="s">
        <v>4477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4443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4443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4443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4484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4484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4490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4497</v>
      </c>
      <c r="B16" s="18">
        <v>12000000</v>
      </c>
      <c r="C16" s="18">
        <v>0</v>
      </c>
      <c r="D16" s="113">
        <f t="shared" si="0"/>
        <v>12000000</v>
      </c>
      <c r="E16" s="20" t="s">
        <v>4498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4499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4501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4502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4502</v>
      </c>
      <c r="B20" s="18">
        <v>0</v>
      </c>
      <c r="C20" s="18">
        <v>-8034286</v>
      </c>
      <c r="D20" s="113">
        <f t="shared" si="0"/>
        <v>8034286</v>
      </c>
      <c r="E20" s="19" t="s">
        <v>4503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4502</v>
      </c>
      <c r="B21" s="18">
        <v>-10000</v>
      </c>
      <c r="C21" s="18">
        <v>0</v>
      </c>
      <c r="D21" s="113">
        <f t="shared" si="0"/>
        <v>-10000</v>
      </c>
      <c r="E21" s="19" t="s">
        <v>4504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4505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4511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4512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4512</v>
      </c>
      <c r="B25" s="18">
        <v>-100500</v>
      </c>
      <c r="C25" s="18">
        <v>0</v>
      </c>
      <c r="D25" s="113">
        <f t="shared" si="0"/>
        <v>-100500</v>
      </c>
      <c r="E25" s="19" t="s">
        <v>4514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4512</v>
      </c>
      <c r="B26" s="18">
        <v>-68670</v>
      </c>
      <c r="C26" s="18">
        <v>0</v>
      </c>
      <c r="D26" s="113">
        <f t="shared" si="0"/>
        <v>-68670</v>
      </c>
      <c r="E26" s="19" t="s">
        <v>4518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4515</v>
      </c>
      <c r="B27" s="18">
        <v>-118600</v>
      </c>
      <c r="C27" s="18">
        <v>0</v>
      </c>
      <c r="D27" s="113">
        <f t="shared" si="0"/>
        <v>-118600</v>
      </c>
      <c r="E27" s="19" t="s">
        <v>4520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4525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4525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4525</v>
      </c>
      <c r="B30" s="18">
        <v>-389000</v>
      </c>
      <c r="C30" s="18">
        <v>0</v>
      </c>
      <c r="D30" s="113">
        <f t="shared" si="0"/>
        <v>-389000</v>
      </c>
      <c r="E30" s="19" t="s">
        <v>4527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4474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4495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4519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4435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4551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4551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4555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4555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4558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4558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4561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4564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4564</v>
      </c>
      <c r="B11" s="18">
        <v>-1287000</v>
      </c>
      <c r="C11" s="18">
        <v>0</v>
      </c>
      <c r="D11" s="113">
        <f t="shared" si="0"/>
        <v>-1287000</v>
      </c>
      <c r="E11" s="19" t="s">
        <v>4565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4561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4562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4573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4577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4578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4580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4590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4594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4505</v>
      </c>
      <c r="B22" s="18">
        <v>-3995000</v>
      </c>
      <c r="C22" s="18">
        <v>0</v>
      </c>
      <c r="D22" s="113">
        <f t="shared" si="0"/>
        <v>-3995000</v>
      </c>
      <c r="E22" s="19" t="s">
        <v>4595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4511</v>
      </c>
      <c r="B23" s="18">
        <v>-2010700</v>
      </c>
      <c r="C23" s="18">
        <v>0</v>
      </c>
      <c r="D23" s="113">
        <f t="shared" si="0"/>
        <v>-2010700</v>
      </c>
      <c r="E23" s="19" t="s">
        <v>4605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4603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-77315</v>
      </c>
      <c r="C29" s="18">
        <v>0</v>
      </c>
      <c r="D29" s="113">
        <f t="shared" si="0"/>
        <v>-77315</v>
      </c>
      <c r="E29" s="19" t="s">
        <v>4624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-66850</v>
      </c>
      <c r="C30" s="18">
        <v>0</v>
      </c>
      <c r="D30" s="113">
        <f t="shared" si="0"/>
        <v>-66850</v>
      </c>
      <c r="E30" s="19" t="s">
        <v>4629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4628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4559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4618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4626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4633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4633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4649</v>
      </c>
      <c r="B5" s="18">
        <v>-200000</v>
      </c>
      <c r="C5" s="18">
        <v>0</v>
      </c>
      <c r="D5" s="113">
        <f t="shared" si="0"/>
        <v>-200000</v>
      </c>
      <c r="E5" s="20" t="s">
        <v>4646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4660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4665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4665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4665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4665</v>
      </c>
      <c r="B10" s="18">
        <v>-51400</v>
      </c>
      <c r="C10" s="18">
        <v>0</v>
      </c>
      <c r="D10" s="113">
        <f t="shared" si="0"/>
        <v>-51400</v>
      </c>
      <c r="E10" s="19" t="s">
        <v>4672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4675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4675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4693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4693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4693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4697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4707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4713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4713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4723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4715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4716</v>
      </c>
      <c r="B22" s="18">
        <v>-324747</v>
      </c>
      <c r="C22" s="18">
        <v>0</v>
      </c>
      <c r="D22" s="113">
        <f t="shared" si="0"/>
        <v>-324747</v>
      </c>
      <c r="E22" s="19" t="s">
        <v>4724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4731</v>
      </c>
      <c r="B23" s="18">
        <v>-297992</v>
      </c>
      <c r="C23" s="18">
        <v>0</v>
      </c>
      <c r="D23" s="113">
        <f t="shared" si="0"/>
        <v>-297992</v>
      </c>
      <c r="E23" s="19" t="s">
        <v>4732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4740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4617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4622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4622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4626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4626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4647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4648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4668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4669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4677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4683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4684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4695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4698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4714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4720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4721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4722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4726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4733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4746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4747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4" t="s">
        <v>0</v>
      </c>
      <c r="B1" s="214" t="s">
        <v>1</v>
      </c>
      <c r="C1" s="214" t="s">
        <v>4</v>
      </c>
      <c r="D1" s="214" t="s">
        <v>5</v>
      </c>
      <c r="E1" s="214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4" t="s">
        <v>4744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4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4753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4774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4783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4783</v>
      </c>
      <c r="B6" s="18">
        <v>-1866154</v>
      </c>
      <c r="C6" s="18">
        <v>0</v>
      </c>
      <c r="D6" s="113">
        <f t="shared" si="0"/>
        <v>-1866154</v>
      </c>
      <c r="E6" s="19" t="s">
        <v>4792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4783</v>
      </c>
      <c r="B7" s="18">
        <v>-36600</v>
      </c>
      <c r="C7" s="18">
        <v>0</v>
      </c>
      <c r="D7" s="113">
        <f t="shared" si="0"/>
        <v>-36600</v>
      </c>
      <c r="E7" s="19" t="s">
        <v>4793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4794</v>
      </c>
      <c r="B8" s="18">
        <v>-492000</v>
      </c>
      <c r="C8" s="18">
        <v>0</v>
      </c>
      <c r="D8" s="113">
        <f t="shared" si="0"/>
        <v>-492000</v>
      </c>
      <c r="E8" s="19" t="s">
        <v>4795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4794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4794</v>
      </c>
      <c r="B10" s="18">
        <v>-40000</v>
      </c>
      <c r="C10" s="18">
        <v>0</v>
      </c>
      <c r="D10" s="113">
        <f t="shared" si="0"/>
        <v>-40000</v>
      </c>
      <c r="E10" s="19" t="s">
        <v>4797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4798</v>
      </c>
      <c r="B11" s="18">
        <v>-66000</v>
      </c>
      <c r="C11" s="18">
        <v>0</v>
      </c>
      <c r="D11" s="113">
        <f t="shared" si="0"/>
        <v>-66000</v>
      </c>
      <c r="E11" s="19" t="s">
        <v>4797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4799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4799</v>
      </c>
      <c r="B13" s="18">
        <v>-200500</v>
      </c>
      <c r="C13" s="18">
        <v>0</v>
      </c>
      <c r="D13" s="113">
        <f t="shared" si="0"/>
        <v>-200500</v>
      </c>
      <c r="E13" s="20" t="s">
        <v>4800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4804</v>
      </c>
      <c r="B14" s="18">
        <v>1563000</v>
      </c>
      <c r="C14" s="18">
        <v>0</v>
      </c>
      <c r="D14" s="113">
        <f t="shared" si="0"/>
        <v>1563000</v>
      </c>
      <c r="E14" s="20" t="s">
        <v>4809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4804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4818</v>
      </c>
      <c r="B16" s="18">
        <v>-20000</v>
      </c>
      <c r="C16" s="18">
        <v>0</v>
      </c>
      <c r="D16" s="113">
        <f t="shared" si="0"/>
        <v>-20000</v>
      </c>
      <c r="E16" s="20" t="s">
        <v>4822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4833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4837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4843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4853</v>
      </c>
      <c r="B20" s="18">
        <v>400000</v>
      </c>
      <c r="C20" s="18">
        <v>0</v>
      </c>
      <c r="D20" s="113">
        <f t="shared" si="0"/>
        <v>400000</v>
      </c>
      <c r="E20" s="19" t="s">
        <v>4855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4857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4857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4857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4859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4859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4860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4860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4865</v>
      </c>
      <c r="B28" s="18">
        <v>433375</v>
      </c>
      <c r="C28" s="18">
        <v>0</v>
      </c>
      <c r="D28" s="113">
        <f t="shared" si="0"/>
        <v>433375</v>
      </c>
      <c r="E28" s="19" t="s">
        <v>4868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4874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4874</v>
      </c>
      <c r="B30" s="18">
        <v>-300000</v>
      </c>
      <c r="C30" s="18">
        <v>0</v>
      </c>
      <c r="D30" s="113">
        <f t="shared" si="0"/>
        <v>-300000</v>
      </c>
      <c r="E30" s="19" t="s">
        <v>4877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4874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4880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4" t="s">
        <v>4626</v>
      </c>
      <c r="B33" s="214">
        <v>0</v>
      </c>
      <c r="C33" s="214">
        <v>0</v>
      </c>
      <c r="D33" s="214">
        <f t="shared" si="0"/>
        <v>0</v>
      </c>
      <c r="E33" s="214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4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4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4751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4752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4763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4764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4773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4781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4786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4790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4791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4792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4796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4801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4802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4805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4810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4813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4817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4820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4823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4824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4834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4836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4844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4847</v>
      </c>
      <c r="F69" s="96"/>
      <c r="G69" s="96"/>
      <c r="H69" s="96"/>
      <c r="I69" s="96"/>
    </row>
    <row r="70" spans="1:22">
      <c r="D70" s="18">
        <v>-400000</v>
      </c>
      <c r="E70" s="122" t="s">
        <v>4856</v>
      </c>
      <c r="G70" t="s">
        <v>25</v>
      </c>
    </row>
    <row r="71" spans="1:22">
      <c r="D71" s="18">
        <v>463200</v>
      </c>
      <c r="E71" s="122" t="s">
        <v>4858</v>
      </c>
    </row>
    <row r="72" spans="1:22">
      <c r="D72" s="18">
        <v>2000000</v>
      </c>
      <c r="E72" s="96" t="s">
        <v>4861</v>
      </c>
    </row>
    <row r="73" spans="1:22">
      <c r="D73" s="18">
        <v>-280000</v>
      </c>
      <c r="E73" t="s">
        <v>4862</v>
      </c>
    </row>
    <row r="74" spans="1:22">
      <c r="D74" s="18">
        <v>-200000</v>
      </c>
      <c r="E74" s="96" t="s">
        <v>4869</v>
      </c>
    </row>
    <row r="75" spans="1:22">
      <c r="D75" s="18">
        <v>-2000000</v>
      </c>
      <c r="E75" s="96" t="s">
        <v>4875</v>
      </c>
    </row>
    <row r="76" spans="1:22">
      <c r="D76" s="18">
        <v>92800</v>
      </c>
      <c r="E76" s="96" t="s">
        <v>4879</v>
      </c>
    </row>
    <row r="77" spans="1:22">
      <c r="D77" s="18">
        <v>1417727</v>
      </c>
      <c r="E77" s="96" t="s">
        <v>4880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4392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4399</v>
      </c>
      <c r="B238" s="18">
        <v>-7500</v>
      </c>
      <c r="C238" s="18">
        <v>0</v>
      </c>
      <c r="D238" s="18">
        <f t="shared" si="18"/>
        <v>-7500</v>
      </c>
      <c r="E238" s="99" t="s">
        <v>4400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4401</v>
      </c>
      <c r="B239" s="18">
        <v>-4098523</v>
      </c>
      <c r="C239" s="18">
        <v>0</v>
      </c>
      <c r="D239" s="18">
        <f t="shared" si="18"/>
        <v>-4098523</v>
      </c>
      <c r="E239" s="99" t="s">
        <v>4402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4403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4403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4437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4439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4444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4446</v>
      </c>
      <c r="B245" s="18">
        <v>3000000</v>
      </c>
      <c r="C245" s="18">
        <v>0</v>
      </c>
      <c r="D245" s="18">
        <f t="shared" si="18"/>
        <v>3000000</v>
      </c>
      <c r="E245" s="99" t="s">
        <v>4448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4443</v>
      </c>
      <c r="B246" s="18">
        <v>-4040700</v>
      </c>
      <c r="C246" s="18">
        <v>0</v>
      </c>
      <c r="D246" s="18">
        <f t="shared" si="18"/>
        <v>-4040700</v>
      </c>
      <c r="E246" s="99" t="s">
        <v>4481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4443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4484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4484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4490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4497</v>
      </c>
      <c r="B253" s="18">
        <v>12000000</v>
      </c>
      <c r="C253" s="18">
        <v>0</v>
      </c>
      <c r="D253" s="18">
        <f t="shared" si="18"/>
        <v>12000000</v>
      </c>
      <c r="E253" s="99" t="s">
        <v>4498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4499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4501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4502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4502</v>
      </c>
      <c r="B257" s="18">
        <v>0</v>
      </c>
      <c r="C257" s="39">
        <v>-7968789</v>
      </c>
      <c r="D257" s="39">
        <f t="shared" si="18"/>
        <v>7968789</v>
      </c>
      <c r="E257" s="99" t="s">
        <v>4503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4505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4511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4512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4512</v>
      </c>
      <c r="B261" s="18">
        <v>-100500</v>
      </c>
      <c r="C261" s="18">
        <v>0</v>
      </c>
      <c r="D261" s="18">
        <f t="shared" si="18"/>
        <v>-100500</v>
      </c>
      <c r="E261" s="99" t="s">
        <v>4514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4512</v>
      </c>
      <c r="B262" s="18">
        <v>-68670</v>
      </c>
      <c r="C262" s="18">
        <v>0</v>
      </c>
      <c r="D262" s="18">
        <f t="shared" si="18"/>
        <v>-68670</v>
      </c>
      <c r="E262" s="99" t="s">
        <v>4518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4515</v>
      </c>
      <c r="B263" s="18">
        <v>-118600</v>
      </c>
      <c r="C263" s="18">
        <v>0</v>
      </c>
      <c r="D263" s="18">
        <f t="shared" si="18"/>
        <v>-118600</v>
      </c>
      <c r="E263" s="99" t="s">
        <v>4402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4525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4525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4525</v>
      </c>
      <c r="B266" s="18">
        <v>-389000</v>
      </c>
      <c r="C266" s="18">
        <v>0</v>
      </c>
      <c r="D266" s="18">
        <f t="shared" si="18"/>
        <v>-389000</v>
      </c>
      <c r="E266" s="99" t="s">
        <v>4528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4551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4552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4555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4555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4558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4558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4561</v>
      </c>
      <c r="B273" s="18">
        <v>-900000</v>
      </c>
      <c r="C273" s="18">
        <v>0</v>
      </c>
      <c r="D273" s="18">
        <f t="shared" si="18"/>
        <v>-900000</v>
      </c>
      <c r="E273" s="99" t="s">
        <v>4567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4564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4564</v>
      </c>
      <c r="B275" s="18">
        <v>-1287000</v>
      </c>
      <c r="C275" s="18">
        <v>0</v>
      </c>
      <c r="D275" s="18">
        <f t="shared" si="18"/>
        <v>-1287000</v>
      </c>
      <c r="E275" s="99" t="s">
        <v>4565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4562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4573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4577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4578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4580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4594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4594</v>
      </c>
      <c r="B285" s="18">
        <v>-3995000</v>
      </c>
      <c r="C285" s="18">
        <v>0</v>
      </c>
      <c r="D285" s="18">
        <f t="shared" si="18"/>
        <v>-3995000</v>
      </c>
      <c r="E285" s="99" t="s">
        <v>4595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4603</v>
      </c>
      <c r="B286" s="18">
        <v>-2010700</v>
      </c>
      <c r="C286" s="18">
        <v>0</v>
      </c>
      <c r="D286" s="18">
        <f t="shared" si="18"/>
        <v>-2010700</v>
      </c>
      <c r="E286" s="99" t="s">
        <v>4607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4603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4617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4622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4626</v>
      </c>
      <c r="B293" s="18">
        <v>-96850</v>
      </c>
      <c r="C293" s="18">
        <v>0</v>
      </c>
      <c r="D293" s="18">
        <f t="shared" si="18"/>
        <v>-96850</v>
      </c>
      <c r="E293" s="99" t="s">
        <v>4630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4633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4633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4649</v>
      </c>
      <c r="B296" s="18">
        <v>-200000</v>
      </c>
      <c r="C296" s="18">
        <v>0</v>
      </c>
      <c r="D296" s="18">
        <f t="shared" si="18"/>
        <v>-200000</v>
      </c>
      <c r="E296" s="99" t="s">
        <v>4650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4660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4665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4665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4665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4665</v>
      </c>
      <c r="B301" s="18">
        <v>-51400</v>
      </c>
      <c r="C301" s="18">
        <v>0</v>
      </c>
      <c r="D301" s="18">
        <f t="shared" si="18"/>
        <v>-51400</v>
      </c>
      <c r="E301" s="99" t="s">
        <v>4672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4675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4675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4693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4693</v>
      </c>
      <c r="B305" s="18">
        <v>-276773</v>
      </c>
      <c r="C305" s="18">
        <v>0</v>
      </c>
      <c r="D305" s="18">
        <f t="shared" si="18"/>
        <v>-276773</v>
      </c>
      <c r="E305" s="99" t="s">
        <v>4696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4697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4707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4713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4713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4723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4715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4716</v>
      </c>
      <c r="B312" s="18">
        <v>-324747</v>
      </c>
      <c r="C312" s="18">
        <v>0</v>
      </c>
      <c r="D312" s="18">
        <f t="shared" si="18"/>
        <v>-324747</v>
      </c>
      <c r="E312" s="99" t="s">
        <v>4724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4731</v>
      </c>
      <c r="B313" s="18">
        <v>-297992</v>
      </c>
      <c r="C313" s="18">
        <v>0</v>
      </c>
      <c r="D313" s="18">
        <f t="shared" si="18"/>
        <v>-297992</v>
      </c>
      <c r="E313" s="99" t="s">
        <v>4732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4740</v>
      </c>
      <c r="B315" s="18">
        <v>-40000</v>
      </c>
      <c r="C315" s="18">
        <v>0</v>
      </c>
      <c r="D315" s="18">
        <f t="shared" si="18"/>
        <v>-40000</v>
      </c>
      <c r="E315" s="99" t="s">
        <v>4748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4753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4774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4783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4783</v>
      </c>
      <c r="B319" s="18">
        <v>-1866154</v>
      </c>
      <c r="C319" s="18">
        <v>0</v>
      </c>
      <c r="D319" s="18">
        <f t="shared" si="18"/>
        <v>-1866154</v>
      </c>
      <c r="E319" s="19" t="s">
        <v>4792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4783</v>
      </c>
      <c r="B320" s="18">
        <v>-36600</v>
      </c>
      <c r="C320" s="18">
        <v>0</v>
      </c>
      <c r="D320" s="18">
        <f t="shared" si="18"/>
        <v>-36600</v>
      </c>
      <c r="E320" s="99" t="s">
        <v>4793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4794</v>
      </c>
      <c r="B321" s="18">
        <v>-492000</v>
      </c>
      <c r="C321" s="18">
        <v>0</v>
      </c>
      <c r="D321" s="18">
        <f t="shared" si="18"/>
        <v>-492000</v>
      </c>
      <c r="E321" s="99" t="s">
        <v>4795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4794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4794</v>
      </c>
      <c r="B323" s="18">
        <v>-40000</v>
      </c>
      <c r="C323" s="18">
        <v>0</v>
      </c>
      <c r="D323" s="18">
        <f t="shared" si="18"/>
        <v>-40000</v>
      </c>
      <c r="E323" s="99" t="s">
        <v>4797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4798</v>
      </c>
      <c r="B324" s="18">
        <v>-66000</v>
      </c>
      <c r="C324" s="18">
        <v>0</v>
      </c>
      <c r="D324" s="18">
        <f t="shared" si="18"/>
        <v>-66000</v>
      </c>
      <c r="E324" s="99" t="s">
        <v>4797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4799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4799</v>
      </c>
      <c r="B326" s="18">
        <v>-200500</v>
      </c>
      <c r="C326" s="18">
        <v>0</v>
      </c>
      <c r="D326" s="18">
        <f t="shared" si="18"/>
        <v>-200500</v>
      </c>
      <c r="E326" s="99" t="s">
        <v>4800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4804</v>
      </c>
      <c r="B327" s="18">
        <v>1563000</v>
      </c>
      <c r="C327" s="18">
        <v>0</v>
      </c>
      <c r="D327" s="18">
        <f t="shared" si="18"/>
        <v>1563000</v>
      </c>
      <c r="E327" s="99" t="s">
        <v>4809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4804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4818</v>
      </c>
      <c r="B329" s="18">
        <v>-20000</v>
      </c>
      <c r="C329" s="18">
        <v>0</v>
      </c>
      <c r="D329" s="18">
        <f t="shared" si="18"/>
        <v>-20000</v>
      </c>
      <c r="E329" s="99" t="s">
        <v>4822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4833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4838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4843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4853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4857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4857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4857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4859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4859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4860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4860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4865</v>
      </c>
      <c r="B341" s="18">
        <v>433375</v>
      </c>
      <c r="C341" s="18">
        <v>0</v>
      </c>
      <c r="D341" s="18">
        <f t="shared" si="18"/>
        <v>433375</v>
      </c>
      <c r="E341" s="99" t="s">
        <v>4868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4874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4874</v>
      </c>
      <c r="B343" s="18">
        <v>-300000</v>
      </c>
      <c r="C343" s="18">
        <v>0</v>
      </c>
      <c r="D343" s="18">
        <f t="shared" si="18"/>
        <v>-300000</v>
      </c>
      <c r="E343" s="99" t="s">
        <v>4877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4874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4880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4886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4883</v>
      </c>
      <c r="B347" s="18">
        <v>-960200</v>
      </c>
      <c r="C347" s="18">
        <v>0</v>
      </c>
      <c r="D347" s="18">
        <f t="shared" si="18"/>
        <v>-960200</v>
      </c>
      <c r="E347" s="99" t="s">
        <v>4887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S26" sqref="S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2" t="s">
        <v>1089</v>
      </c>
      <c r="R21" s="252"/>
      <c r="S21" s="252"/>
      <c r="T21" s="252"/>
      <c r="U21" s="96"/>
      <c r="V21" s="96"/>
      <c r="W21" s="96"/>
      <c r="X21" s="96"/>
      <c r="Y21" s="96"/>
      <c r="Z21" s="96"/>
    </row>
    <row r="22" spans="5:35">
      <c r="O22" s="99"/>
      <c r="P22" s="99"/>
      <c r="Q22" s="252"/>
      <c r="R22" s="252"/>
      <c r="S22" s="252"/>
      <c r="T22" s="25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3" t="s">
        <v>1090</v>
      </c>
      <c r="R23" s="254" t="s">
        <v>1091</v>
      </c>
      <c r="S23" s="253" t="s">
        <v>1092</v>
      </c>
      <c r="T23" s="255" t="s">
        <v>1093</v>
      </c>
      <c r="AD23" t="s">
        <v>25</v>
      </c>
    </row>
    <row r="24" spans="5:35">
      <c r="O24" s="99"/>
      <c r="P24" s="99"/>
      <c r="Q24" s="253"/>
      <c r="R24" s="254"/>
      <c r="S24" s="253"/>
      <c r="T24" s="25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4542</v>
      </c>
      <c r="B1" t="s">
        <v>4545</v>
      </c>
      <c r="C1" t="s">
        <v>4546</v>
      </c>
    </row>
    <row r="2" spans="1:3">
      <c r="A2" t="s">
        <v>4543</v>
      </c>
      <c r="B2" t="s">
        <v>4547</v>
      </c>
      <c r="C2" t="s">
        <v>4548</v>
      </c>
    </row>
    <row r="3" spans="1:3">
      <c r="A3" t="s">
        <v>4544</v>
      </c>
      <c r="B3" t="s">
        <v>4546</v>
      </c>
      <c r="C3" t="s">
        <v>4549</v>
      </c>
    </row>
    <row r="5" spans="1:3">
      <c r="A5" t="s">
        <v>4794</v>
      </c>
      <c r="B5" t="s">
        <v>4811</v>
      </c>
    </row>
    <row r="6" spans="1:3">
      <c r="A6" t="s">
        <v>4804</v>
      </c>
      <c r="B6" t="s">
        <v>4812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4736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4727</v>
      </c>
      <c r="B2" s="95">
        <v>10300</v>
      </c>
      <c r="C2" s="95">
        <v>0</v>
      </c>
      <c r="D2" s="99" t="s">
        <v>4737</v>
      </c>
      <c r="E2" s="96"/>
      <c r="F2" s="96"/>
      <c r="G2" s="96"/>
    </row>
    <row r="3" spans="1:7">
      <c r="A3" s="99" t="s">
        <v>4727</v>
      </c>
      <c r="B3" s="95">
        <v>0</v>
      </c>
      <c r="C3" s="95">
        <v>5500</v>
      </c>
      <c r="D3" s="99" t="s">
        <v>4738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4744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4756</v>
      </c>
      <c r="B6" s="95">
        <v>0</v>
      </c>
      <c r="C6" s="95">
        <v>3000</v>
      </c>
      <c r="D6" s="99" t="s">
        <v>4760</v>
      </c>
      <c r="E6" s="96"/>
      <c r="F6" s="96"/>
      <c r="G6" s="96"/>
    </row>
    <row r="7" spans="1:7">
      <c r="A7" s="99" t="s">
        <v>4756</v>
      </c>
      <c r="B7" s="95">
        <v>9200</v>
      </c>
      <c r="C7" s="95">
        <v>0</v>
      </c>
      <c r="D7" s="99" t="s">
        <v>4737</v>
      </c>
      <c r="E7" s="96"/>
      <c r="F7" s="96"/>
      <c r="G7" s="96"/>
    </row>
    <row r="8" spans="1:7">
      <c r="A8" s="99" t="s">
        <v>4758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4766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4766</v>
      </c>
      <c r="B10" s="95">
        <v>10200</v>
      </c>
      <c r="C10" s="95">
        <v>0</v>
      </c>
      <c r="D10" s="99" t="s">
        <v>4737</v>
      </c>
      <c r="E10" s="96"/>
      <c r="F10" s="96"/>
      <c r="G10" s="96"/>
    </row>
    <row r="11" spans="1:7">
      <c r="A11" s="99" t="s">
        <v>4783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4803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4804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4835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4818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4737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4840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4843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4846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4853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4853</v>
      </c>
      <c r="B22" s="95">
        <v>9600</v>
      </c>
      <c r="C22" s="95">
        <v>0</v>
      </c>
      <c r="D22" s="99" t="s">
        <v>4737</v>
      </c>
      <c r="E22" s="96"/>
      <c r="F22" s="96"/>
      <c r="G22" s="96"/>
      <c r="I22" t="s">
        <v>25</v>
      </c>
    </row>
    <row r="23" spans="1:9">
      <c r="A23" s="99" t="s">
        <v>4860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4865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4874</v>
      </c>
      <c r="B25" s="95">
        <v>0</v>
      </c>
      <c r="C25" s="95">
        <v>1000</v>
      </c>
      <c r="D25" s="99" t="s">
        <v>315</v>
      </c>
    </row>
    <row r="26" spans="1:9">
      <c r="A26" s="99" t="s">
        <v>4907</v>
      </c>
      <c r="B26" s="95">
        <v>0</v>
      </c>
      <c r="C26" s="95">
        <v>12000</v>
      </c>
      <c r="D26" s="99" t="s">
        <v>4919</v>
      </c>
    </row>
    <row r="27" spans="1:9">
      <c r="A27" s="99" t="s">
        <v>4908</v>
      </c>
      <c r="B27" s="95">
        <v>0</v>
      </c>
      <c r="C27" s="95">
        <v>1000</v>
      </c>
      <c r="D27" s="99" t="s">
        <v>315</v>
      </c>
    </row>
    <row r="28" spans="1:9">
      <c r="A28" s="99" t="s">
        <v>4920</v>
      </c>
      <c r="B28" s="95">
        <v>0</v>
      </c>
      <c r="C28" s="95">
        <v>1000</v>
      </c>
      <c r="D28" s="99" t="s">
        <v>315</v>
      </c>
    </row>
    <row r="29" spans="1:9">
      <c r="A29" s="99" t="s">
        <v>4922</v>
      </c>
      <c r="B29" s="95">
        <v>0</v>
      </c>
      <c r="C29" s="95">
        <v>1000</v>
      </c>
      <c r="D29" s="99" t="s">
        <v>315</v>
      </c>
    </row>
    <row r="30" spans="1:9">
      <c r="A30" s="99" t="s">
        <v>4923</v>
      </c>
      <c r="B30" s="95">
        <v>0</v>
      </c>
      <c r="C30" s="95">
        <v>5500</v>
      </c>
      <c r="D30" s="99" t="s">
        <v>4738</v>
      </c>
    </row>
    <row r="31" spans="1:9">
      <c r="A31" s="99" t="s">
        <v>4923</v>
      </c>
      <c r="B31" s="95">
        <v>11000</v>
      </c>
      <c r="C31" s="95">
        <v>0</v>
      </c>
      <c r="D31" s="99" t="s">
        <v>4737</v>
      </c>
    </row>
    <row r="32" spans="1:9">
      <c r="A32" s="99" t="s">
        <v>4931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4934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4936</v>
      </c>
      <c r="B34" s="95">
        <v>0</v>
      </c>
      <c r="C34" s="95">
        <v>1000</v>
      </c>
      <c r="D34" s="99" t="s">
        <v>315</v>
      </c>
    </row>
    <row r="35" spans="1:10">
      <c r="A35" s="99" t="s">
        <v>4937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4942</v>
      </c>
      <c r="B36" s="95">
        <v>1000</v>
      </c>
      <c r="C36" s="95">
        <v>0</v>
      </c>
      <c r="D36" s="99" t="s">
        <v>315</v>
      </c>
    </row>
    <row r="37" spans="1:10">
      <c r="A37" s="99" t="s">
        <v>4942</v>
      </c>
      <c r="B37" s="95">
        <v>0</v>
      </c>
      <c r="C37" s="95">
        <v>11200</v>
      </c>
      <c r="D37" s="99" t="s">
        <v>4737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4758</v>
      </c>
      <c r="B48" s="225">
        <v>6700</v>
      </c>
      <c r="C48" s="225">
        <v>0</v>
      </c>
      <c r="D48" s="23" t="s">
        <v>4761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4573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4740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4744</v>
      </c>
      <c r="B75" s="113">
        <v>-20000</v>
      </c>
      <c r="C75" s="99" t="s">
        <v>4749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workbookViewId="0">
      <pane ySplit="1" topLeftCell="A286" activePane="bottomLeft" state="frozen"/>
      <selection pane="bottomLeft" activeCell="I302" sqref="I30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1075</v>
      </c>
      <c r="E2" s="11">
        <f>IF(B2&gt;0,1,0)</f>
        <v>1</v>
      </c>
      <c r="F2" s="11">
        <f>B2*(D2-E2)</f>
        <v>103855800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1073</v>
      </c>
      <c r="E3" s="11">
        <f t="shared" ref="E3:E66" si="1">IF(B3&gt;0,1,0)</f>
        <v>1</v>
      </c>
      <c r="F3" s="11">
        <f t="shared" ref="F3:F66" si="2">B3*(D3-E3)</f>
        <v>3216000000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1070</v>
      </c>
      <c r="E4" s="11">
        <f t="shared" si="1"/>
        <v>0</v>
      </c>
      <c r="F4" s="11">
        <f t="shared" si="2"/>
        <v>-214000000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1068</v>
      </c>
      <c r="E5" s="11">
        <f t="shared" si="1"/>
        <v>0</v>
      </c>
      <c r="F5" s="11">
        <f t="shared" si="2"/>
        <v>-106800000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1067</v>
      </c>
      <c r="E6" s="11">
        <f t="shared" si="1"/>
        <v>0</v>
      </c>
      <c r="F6" s="11">
        <f t="shared" si="2"/>
        <v>-58685000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1066</v>
      </c>
      <c r="E7" s="11">
        <f t="shared" si="1"/>
        <v>0</v>
      </c>
      <c r="F7" s="11">
        <f t="shared" si="2"/>
        <v>-213200000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1062</v>
      </c>
      <c r="E8" s="11">
        <f t="shared" si="1"/>
        <v>0</v>
      </c>
      <c r="F8" s="11">
        <f t="shared" si="2"/>
        <v>-212400000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1052</v>
      </c>
      <c r="E9" s="11">
        <f t="shared" si="1"/>
        <v>0</v>
      </c>
      <c r="F9" s="11">
        <f t="shared" si="2"/>
        <v>-999926000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1051</v>
      </c>
      <c r="E10" s="11">
        <f t="shared" si="1"/>
        <v>1</v>
      </c>
      <c r="F10" s="11">
        <f t="shared" si="2"/>
        <v>2100000000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1049</v>
      </c>
      <c r="E11" s="11">
        <f t="shared" si="1"/>
        <v>0</v>
      </c>
      <c r="F11" s="11">
        <f t="shared" si="2"/>
        <v>-1117185000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1046</v>
      </c>
      <c r="E12" s="11">
        <f t="shared" si="1"/>
        <v>0</v>
      </c>
      <c r="F12" s="11">
        <f t="shared" si="2"/>
        <v>-47070000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1045</v>
      </c>
      <c r="E13" s="11">
        <f t="shared" si="1"/>
        <v>0</v>
      </c>
      <c r="F13" s="11">
        <f t="shared" si="2"/>
        <v>-2090731500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1041</v>
      </c>
      <c r="E14" s="11">
        <f t="shared" si="1"/>
        <v>0</v>
      </c>
      <c r="F14" s="11">
        <f t="shared" si="2"/>
        <v>-208200000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1039</v>
      </c>
      <c r="E15" s="11">
        <f t="shared" si="1"/>
        <v>1</v>
      </c>
      <c r="F15" s="11">
        <f t="shared" si="2"/>
        <v>2076000000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1039</v>
      </c>
      <c r="E16" s="11">
        <f t="shared" si="1"/>
        <v>1</v>
      </c>
      <c r="F16" s="11">
        <f t="shared" si="2"/>
        <v>2076000000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1039</v>
      </c>
      <c r="E17" s="11">
        <f t="shared" si="1"/>
        <v>1</v>
      </c>
      <c r="F17" s="11">
        <f t="shared" si="2"/>
        <v>1245600000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1039</v>
      </c>
      <c r="E18" s="11">
        <f t="shared" si="1"/>
        <v>1</v>
      </c>
      <c r="F18" s="11">
        <f t="shared" si="2"/>
        <v>1038000000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1038</v>
      </c>
      <c r="E19" s="11">
        <f t="shared" si="1"/>
        <v>1</v>
      </c>
      <c r="F19" s="11">
        <f t="shared" si="2"/>
        <v>3111000000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1038</v>
      </c>
      <c r="E20" s="11">
        <f t="shared" si="1"/>
        <v>0</v>
      </c>
      <c r="F20" s="11">
        <f t="shared" si="2"/>
        <v>-449142600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1038</v>
      </c>
      <c r="E21" s="11">
        <f t="shared" si="1"/>
        <v>0</v>
      </c>
      <c r="F21" s="11">
        <f t="shared" si="2"/>
        <v>-449142600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1038</v>
      </c>
      <c r="E22" s="11">
        <f t="shared" si="1"/>
        <v>0</v>
      </c>
      <c r="F22" s="11">
        <f t="shared" si="2"/>
        <v>-449142600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1038</v>
      </c>
      <c r="E23" s="11">
        <f t="shared" si="1"/>
        <v>0</v>
      </c>
      <c r="F23" s="11">
        <f t="shared" si="2"/>
        <v>-449142600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1038</v>
      </c>
      <c r="E24" s="11">
        <f t="shared" si="1"/>
        <v>0</v>
      </c>
      <c r="F24" s="11">
        <f t="shared" si="2"/>
        <v>-449142600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1038</v>
      </c>
      <c r="E25" s="11">
        <f t="shared" si="1"/>
        <v>0</v>
      </c>
      <c r="F25" s="11">
        <f t="shared" si="2"/>
        <v>-207600000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1037</v>
      </c>
      <c r="E26" s="11">
        <f t="shared" si="1"/>
        <v>1</v>
      </c>
      <c r="F26" s="11">
        <f t="shared" si="2"/>
        <v>3108000000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1035</v>
      </c>
      <c r="E27" s="11">
        <f t="shared" si="1"/>
        <v>0</v>
      </c>
      <c r="F27" s="11">
        <f t="shared" si="2"/>
        <v>-207000000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1034</v>
      </c>
      <c r="E28" s="11">
        <f t="shared" si="1"/>
        <v>1</v>
      </c>
      <c r="F28" s="11">
        <f t="shared" si="2"/>
        <v>2066000000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1033</v>
      </c>
      <c r="E29" s="11">
        <f t="shared" si="1"/>
        <v>0</v>
      </c>
      <c r="F29" s="11">
        <f t="shared" si="2"/>
        <v>-7231826400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1032</v>
      </c>
      <c r="E30" s="11">
        <f t="shared" si="1"/>
        <v>0</v>
      </c>
      <c r="F30" s="11">
        <f t="shared" si="2"/>
        <v>-3096928800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1031</v>
      </c>
      <c r="E31" s="11">
        <f t="shared" si="1"/>
        <v>0</v>
      </c>
      <c r="F31" s="11">
        <f t="shared" si="2"/>
        <v>-1748472900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1028</v>
      </c>
      <c r="E32" s="11">
        <f t="shared" si="1"/>
        <v>1</v>
      </c>
      <c r="F32" s="11">
        <f t="shared" si="2"/>
        <v>1021146100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1022</v>
      </c>
      <c r="E33" s="11">
        <f t="shared" si="1"/>
        <v>1</v>
      </c>
      <c r="F33" s="11">
        <f t="shared" si="2"/>
        <v>35827911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1021</v>
      </c>
      <c r="E34" s="11">
        <f t="shared" si="1"/>
        <v>0</v>
      </c>
      <c r="F34" s="11">
        <f t="shared" si="2"/>
        <v>-867850000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1013</v>
      </c>
      <c r="E35" s="11">
        <f t="shared" si="1"/>
        <v>0</v>
      </c>
      <c r="F35" s="11">
        <f t="shared" si="2"/>
        <v>-192976500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1012</v>
      </c>
      <c r="E36" s="11">
        <f t="shared" si="1"/>
        <v>1</v>
      </c>
      <c r="F36" s="11">
        <f t="shared" si="2"/>
        <v>202200000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1012</v>
      </c>
      <c r="E37" s="11">
        <f t="shared" si="1"/>
        <v>0</v>
      </c>
      <c r="F37" s="11">
        <f t="shared" si="2"/>
        <v>-202400000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990</v>
      </c>
      <c r="E38" s="11">
        <f t="shared" si="1"/>
        <v>1</v>
      </c>
      <c r="F38" s="11">
        <f t="shared" si="2"/>
        <v>297497134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989</v>
      </c>
      <c r="E39" s="11">
        <f t="shared" si="1"/>
        <v>0</v>
      </c>
      <c r="F39" s="11">
        <f t="shared" si="2"/>
        <v>-93955000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989</v>
      </c>
      <c r="E40" s="11">
        <f t="shared" si="1"/>
        <v>0</v>
      </c>
      <c r="F40" s="11">
        <f t="shared" si="2"/>
        <v>-87133867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984</v>
      </c>
      <c r="E41" s="11">
        <f t="shared" si="1"/>
        <v>0</v>
      </c>
      <c r="F41" s="11">
        <f t="shared" si="2"/>
        <v>-118080000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962</v>
      </c>
      <c r="E42" s="11">
        <f t="shared" si="1"/>
        <v>1</v>
      </c>
      <c r="F42" s="11">
        <f t="shared" si="2"/>
        <v>961196044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958</v>
      </c>
      <c r="E43" s="11">
        <f t="shared" si="1"/>
        <v>0</v>
      </c>
      <c r="F43" s="11">
        <f t="shared" si="2"/>
        <v>-76640000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954</v>
      </c>
      <c r="E44" s="11">
        <f t="shared" si="1"/>
        <v>0</v>
      </c>
      <c r="F44" s="11">
        <f t="shared" si="2"/>
        <v>-201321666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953</v>
      </c>
      <c r="E45" s="11">
        <f t="shared" si="1"/>
        <v>0</v>
      </c>
      <c r="F45" s="11">
        <f t="shared" si="2"/>
        <v>-190600000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952</v>
      </c>
      <c r="E46" s="11">
        <f t="shared" si="1"/>
        <v>0</v>
      </c>
      <c r="F46" s="11">
        <f t="shared" si="2"/>
        <v>-90440000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950</v>
      </c>
      <c r="E47" s="11">
        <f t="shared" si="1"/>
        <v>0</v>
      </c>
      <c r="F47" s="11">
        <f t="shared" si="2"/>
        <v>-42750000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950</v>
      </c>
      <c r="E48" s="11">
        <f t="shared" si="1"/>
        <v>0</v>
      </c>
      <c r="F48" s="11">
        <f t="shared" si="2"/>
        <v>-60971000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947</v>
      </c>
      <c r="E49" s="11">
        <f t="shared" si="1"/>
        <v>0</v>
      </c>
      <c r="F49" s="11">
        <f t="shared" si="2"/>
        <v>-26027348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946</v>
      </c>
      <c r="E50" s="11">
        <f t="shared" si="1"/>
        <v>0</v>
      </c>
      <c r="F50" s="11">
        <f t="shared" si="2"/>
        <v>-133386000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946</v>
      </c>
      <c r="E51" s="11">
        <f t="shared" si="1"/>
        <v>0</v>
      </c>
      <c r="F51" s="11">
        <f t="shared" si="2"/>
        <v>-25301716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945</v>
      </c>
      <c r="E52" s="11">
        <f t="shared" si="1"/>
        <v>0</v>
      </c>
      <c r="F52" s="11">
        <f t="shared" si="2"/>
        <v>-50368500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944</v>
      </c>
      <c r="E53" s="11">
        <f t="shared" si="1"/>
        <v>1</v>
      </c>
      <c r="F53" s="11">
        <f t="shared" si="2"/>
        <v>943000000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938</v>
      </c>
      <c r="E54" s="11">
        <f t="shared" si="1"/>
        <v>0</v>
      </c>
      <c r="F54" s="11">
        <f t="shared" si="2"/>
        <v>-19698000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937</v>
      </c>
      <c r="E55" s="11">
        <f t="shared" si="1"/>
        <v>0</v>
      </c>
      <c r="F55" s="11">
        <f t="shared" si="2"/>
        <v>-918728500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937</v>
      </c>
      <c r="E56" s="11">
        <f t="shared" si="1"/>
        <v>0</v>
      </c>
      <c r="F56" s="11">
        <f t="shared" si="2"/>
        <v>-42165000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924</v>
      </c>
      <c r="E57" s="11">
        <f t="shared" si="1"/>
        <v>1</v>
      </c>
      <c r="F57" s="11">
        <f t="shared" si="2"/>
        <v>2773789447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924</v>
      </c>
      <c r="E58" s="11">
        <f t="shared" si="1"/>
        <v>1</v>
      </c>
      <c r="F58" s="11">
        <f t="shared" si="2"/>
        <v>1846000000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923</v>
      </c>
      <c r="E59" s="11">
        <f t="shared" si="1"/>
        <v>1</v>
      </c>
      <c r="F59" s="11">
        <f t="shared" si="2"/>
        <v>1844000000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923</v>
      </c>
      <c r="E60" s="11">
        <f t="shared" si="1"/>
        <v>0</v>
      </c>
      <c r="F60" s="11">
        <f t="shared" si="2"/>
        <v>-6462384500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899</v>
      </c>
      <c r="E61" s="11">
        <f t="shared" si="1"/>
        <v>1</v>
      </c>
      <c r="F61" s="11">
        <f t="shared" si="2"/>
        <v>2694000000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898</v>
      </c>
      <c r="E62" s="11">
        <f t="shared" si="1"/>
        <v>0</v>
      </c>
      <c r="F62" s="11">
        <f t="shared" si="2"/>
        <v>-24343882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898</v>
      </c>
      <c r="E63" s="11">
        <f t="shared" si="1"/>
        <v>0</v>
      </c>
      <c r="F63" s="11">
        <f t="shared" si="2"/>
        <v>-29624122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898</v>
      </c>
      <c r="E64" s="11">
        <f t="shared" si="1"/>
        <v>1</v>
      </c>
      <c r="F64" s="11">
        <f t="shared" si="2"/>
        <v>2691000000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898</v>
      </c>
      <c r="E65" s="11">
        <f t="shared" si="1"/>
        <v>1</v>
      </c>
      <c r="F65" s="11">
        <f t="shared" si="2"/>
        <v>2664090000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898</v>
      </c>
      <c r="E66" s="11">
        <f t="shared" si="1"/>
        <v>1</v>
      </c>
      <c r="F66" s="11">
        <f t="shared" si="2"/>
        <v>897000000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898</v>
      </c>
      <c r="E67" s="11">
        <f t="shared" ref="E67:E130" si="4">IF(B67&gt;0,1,0)</f>
        <v>1</v>
      </c>
      <c r="F67" s="11">
        <f t="shared" ref="F67:F248" si="5">B67*(D67-E67)</f>
        <v>26910000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897</v>
      </c>
      <c r="E68" s="11">
        <f t="shared" si="4"/>
        <v>1</v>
      </c>
      <c r="F68" s="11">
        <f t="shared" si="5"/>
        <v>26880000000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896</v>
      </c>
      <c r="E69" s="11">
        <f t="shared" si="4"/>
        <v>0</v>
      </c>
      <c r="F69" s="11">
        <f t="shared" si="5"/>
        <v>-179200000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896</v>
      </c>
      <c r="E70" s="11">
        <f t="shared" si="4"/>
        <v>1</v>
      </c>
      <c r="F70" s="11">
        <f t="shared" si="5"/>
        <v>1253000000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896</v>
      </c>
      <c r="E71" s="11">
        <f t="shared" si="4"/>
        <v>1</v>
      </c>
      <c r="F71" s="11">
        <f t="shared" si="5"/>
        <v>2327000000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896</v>
      </c>
      <c r="E72" s="11">
        <f t="shared" si="4"/>
        <v>0</v>
      </c>
      <c r="F72" s="11">
        <f t="shared" si="5"/>
        <v>-896000000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894</v>
      </c>
      <c r="E73" s="11">
        <f t="shared" si="4"/>
        <v>1</v>
      </c>
      <c r="F73" s="11">
        <f t="shared" si="5"/>
        <v>13395000000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889</v>
      </c>
      <c r="E74" s="11">
        <f t="shared" si="4"/>
        <v>0</v>
      </c>
      <c r="F74" s="11">
        <f t="shared" si="5"/>
        <v>-13338733800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887</v>
      </c>
      <c r="E75" s="11">
        <f t="shared" si="4"/>
        <v>0</v>
      </c>
      <c r="F75" s="11">
        <f t="shared" si="5"/>
        <v>-2661000000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887</v>
      </c>
      <c r="E76" s="11">
        <f t="shared" si="4"/>
        <v>0</v>
      </c>
      <c r="F76" s="11">
        <f t="shared" si="5"/>
        <v>-177400000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887</v>
      </c>
      <c r="E77" s="11">
        <f t="shared" si="4"/>
        <v>0</v>
      </c>
      <c r="F77" s="11">
        <f t="shared" si="5"/>
        <v>-10646661000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883</v>
      </c>
      <c r="E78" s="11">
        <f t="shared" si="4"/>
        <v>0</v>
      </c>
      <c r="F78" s="11">
        <f t="shared" si="5"/>
        <v>-2649794700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878</v>
      </c>
      <c r="E79" s="11">
        <f t="shared" si="4"/>
        <v>1</v>
      </c>
      <c r="F79" s="11">
        <f t="shared" si="5"/>
        <v>20171000000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873</v>
      </c>
      <c r="E80" s="11">
        <f t="shared" si="4"/>
        <v>0</v>
      </c>
      <c r="F80" s="11">
        <f t="shared" si="5"/>
        <v>-524236500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873</v>
      </c>
      <c r="E81" s="11">
        <f t="shared" si="4"/>
        <v>0</v>
      </c>
      <c r="F81" s="11">
        <f t="shared" si="5"/>
        <v>-174600000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872</v>
      </c>
      <c r="E82" s="11">
        <f t="shared" si="4"/>
        <v>1</v>
      </c>
      <c r="F82" s="11">
        <f t="shared" si="5"/>
        <v>246685491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872</v>
      </c>
      <c r="E83" s="11">
        <f t="shared" si="4"/>
        <v>0</v>
      </c>
      <c r="F83" s="11">
        <f t="shared" si="5"/>
        <v>-174400000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870</v>
      </c>
      <c r="E84" s="11">
        <f t="shared" si="4"/>
        <v>1</v>
      </c>
      <c r="F84" s="11">
        <f t="shared" si="5"/>
        <v>1738000000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867</v>
      </c>
      <c r="E85" s="11">
        <f t="shared" si="4"/>
        <v>0</v>
      </c>
      <c r="F85" s="11">
        <f t="shared" si="5"/>
        <v>-173400000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861</v>
      </c>
      <c r="E86" s="11">
        <f t="shared" si="4"/>
        <v>0</v>
      </c>
      <c r="F86" s="11">
        <f t="shared" si="5"/>
        <v>-172200000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859</v>
      </c>
      <c r="E87" s="11">
        <f t="shared" si="4"/>
        <v>0</v>
      </c>
      <c r="F87" s="11">
        <f t="shared" si="5"/>
        <v>-1138175000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844</v>
      </c>
      <c r="E88" s="11">
        <f t="shared" si="4"/>
        <v>0</v>
      </c>
      <c r="F88" s="11">
        <f t="shared" si="5"/>
        <v>-422000000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844</v>
      </c>
      <c r="E89" s="11">
        <f t="shared" si="4"/>
        <v>0</v>
      </c>
      <c r="F89" s="11">
        <f t="shared" si="5"/>
        <v>-101280000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842</v>
      </c>
      <c r="E90" s="11">
        <f t="shared" si="4"/>
        <v>1</v>
      </c>
      <c r="F90" s="11">
        <f t="shared" si="5"/>
        <v>360120405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839</v>
      </c>
      <c r="E91" s="11">
        <f t="shared" si="4"/>
        <v>0</v>
      </c>
      <c r="F91" s="11">
        <f t="shared" si="5"/>
        <v>-2518678000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837</v>
      </c>
      <c r="E92" s="11">
        <f t="shared" si="4"/>
        <v>0</v>
      </c>
      <c r="F92" s="11">
        <f t="shared" si="5"/>
        <v>-171585000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837</v>
      </c>
      <c r="E93" s="11">
        <f t="shared" si="4"/>
        <v>0</v>
      </c>
      <c r="F93" s="11">
        <f t="shared" si="5"/>
        <v>-293368500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826</v>
      </c>
      <c r="E94" s="11">
        <f t="shared" si="4"/>
        <v>1</v>
      </c>
      <c r="F94" s="11">
        <f t="shared" si="5"/>
        <v>825000000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821</v>
      </c>
      <c r="E95" s="11">
        <f t="shared" si="4"/>
        <v>1</v>
      </c>
      <c r="F95" s="11">
        <f t="shared" si="5"/>
        <v>7380000000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819</v>
      </c>
      <c r="E96" s="11">
        <f t="shared" si="4"/>
        <v>0</v>
      </c>
      <c r="F96" s="11">
        <f t="shared" si="5"/>
        <v>-21294000000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819</v>
      </c>
      <c r="E97" s="11">
        <f t="shared" si="4"/>
        <v>0</v>
      </c>
      <c r="F97" s="11">
        <f t="shared" si="5"/>
        <v>-21294000000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819</v>
      </c>
      <c r="E98" s="11">
        <f t="shared" si="4"/>
        <v>1</v>
      </c>
      <c r="F98" s="11">
        <f t="shared" si="5"/>
        <v>21268000000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819</v>
      </c>
      <c r="E99" s="11">
        <f t="shared" si="4"/>
        <v>0</v>
      </c>
      <c r="F99" s="11">
        <f t="shared" si="5"/>
        <v>-163800000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817</v>
      </c>
      <c r="E100" s="11">
        <f t="shared" si="4"/>
        <v>1</v>
      </c>
      <c r="F100" s="11">
        <f t="shared" si="5"/>
        <v>23827200000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812</v>
      </c>
      <c r="E101" s="11">
        <f t="shared" si="4"/>
        <v>1</v>
      </c>
      <c r="F101" s="11">
        <f t="shared" si="5"/>
        <v>324355395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811</v>
      </c>
      <c r="E102" s="11">
        <f t="shared" si="4"/>
        <v>1</v>
      </c>
      <c r="F102" s="11">
        <f t="shared" si="5"/>
        <v>1620000000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810</v>
      </c>
      <c r="E103" s="11">
        <f t="shared" si="4"/>
        <v>1</v>
      </c>
      <c r="F103" s="11">
        <f t="shared" si="5"/>
        <v>6067500000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810</v>
      </c>
      <c r="E104" s="11">
        <f t="shared" si="4"/>
        <v>0</v>
      </c>
      <c r="F104" s="11">
        <f t="shared" si="5"/>
        <v>-53460000000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810</v>
      </c>
      <c r="E105" s="11">
        <f t="shared" si="4"/>
        <v>0</v>
      </c>
      <c r="F105" s="11">
        <f t="shared" si="5"/>
        <v>-117450000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808</v>
      </c>
      <c r="E106" s="11">
        <f t="shared" si="4"/>
        <v>1</v>
      </c>
      <c r="F106" s="11">
        <f t="shared" si="5"/>
        <v>4842000000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806</v>
      </c>
      <c r="E107" s="11">
        <f t="shared" si="4"/>
        <v>0</v>
      </c>
      <c r="F107" s="11">
        <f t="shared" si="5"/>
        <v>-4840755400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803</v>
      </c>
      <c r="E108" s="11">
        <f t="shared" si="4"/>
        <v>1</v>
      </c>
      <c r="F108" s="11">
        <f t="shared" si="5"/>
        <v>4812000000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791</v>
      </c>
      <c r="E109" s="11">
        <f t="shared" si="4"/>
        <v>0</v>
      </c>
      <c r="F109" s="11">
        <f t="shared" si="5"/>
        <v>-94920000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790</v>
      </c>
      <c r="E110" s="11">
        <f t="shared" si="4"/>
        <v>1</v>
      </c>
      <c r="F110" s="11">
        <f t="shared" si="5"/>
        <v>3156000000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789</v>
      </c>
      <c r="E111" s="11">
        <f t="shared" si="4"/>
        <v>1</v>
      </c>
      <c r="F111" s="11">
        <f t="shared" si="5"/>
        <v>2206400000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785</v>
      </c>
      <c r="E112" s="11">
        <f t="shared" si="4"/>
        <v>0</v>
      </c>
      <c r="F112" s="11">
        <f t="shared" si="5"/>
        <v>-157000000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784</v>
      </c>
      <c r="E113" s="11">
        <f t="shared" si="4"/>
        <v>1</v>
      </c>
      <c r="F113" s="11">
        <f t="shared" si="5"/>
        <v>56618730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767</v>
      </c>
      <c r="E114" s="11">
        <f t="shared" si="4"/>
        <v>0</v>
      </c>
      <c r="F114" s="11">
        <f t="shared" si="5"/>
        <v>-153400000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766</v>
      </c>
      <c r="E115" s="11">
        <f t="shared" si="4"/>
        <v>0</v>
      </c>
      <c r="F115" s="23">
        <f t="shared" si="5"/>
        <v>-8426000000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766</v>
      </c>
      <c r="E116" s="11">
        <f t="shared" si="4"/>
        <v>0</v>
      </c>
      <c r="F116" s="11">
        <f t="shared" si="5"/>
        <v>-153200000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764</v>
      </c>
      <c r="E117" s="11">
        <f t="shared" si="4"/>
        <v>0</v>
      </c>
      <c r="F117" s="11">
        <f t="shared" si="5"/>
        <v>-344182000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764</v>
      </c>
      <c r="E118" s="11">
        <f t="shared" si="4"/>
        <v>0</v>
      </c>
      <c r="F118" s="11">
        <f t="shared" si="5"/>
        <v>-152800000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758</v>
      </c>
      <c r="E119" s="11">
        <f t="shared" si="4"/>
        <v>0</v>
      </c>
      <c r="F119" s="11">
        <f t="shared" si="5"/>
        <v>-117148900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758</v>
      </c>
      <c r="E120" s="11">
        <f t="shared" si="4"/>
        <v>0</v>
      </c>
      <c r="F120" s="11">
        <f t="shared" si="5"/>
        <v>-242560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757</v>
      </c>
      <c r="E121" s="11">
        <f t="shared" si="4"/>
        <v>0</v>
      </c>
      <c r="F121" s="11">
        <f t="shared" si="5"/>
        <v>-327024000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751</v>
      </c>
      <c r="E122" s="11">
        <f t="shared" si="4"/>
        <v>1</v>
      </c>
      <c r="F122" s="11">
        <f t="shared" si="5"/>
        <v>55532250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730</v>
      </c>
      <c r="E123" s="11">
        <f t="shared" si="4"/>
        <v>0</v>
      </c>
      <c r="F123" s="11">
        <f t="shared" si="5"/>
        <v>-37960000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689</v>
      </c>
      <c r="E124" s="11">
        <f t="shared" si="4"/>
        <v>1</v>
      </c>
      <c r="F124" s="11">
        <f t="shared" si="5"/>
        <v>816656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688</v>
      </c>
      <c r="E125" s="11">
        <f t="shared" si="4"/>
        <v>1</v>
      </c>
      <c r="F125" s="11">
        <f t="shared" si="5"/>
        <v>1648800000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686</v>
      </c>
      <c r="E126" s="11">
        <f t="shared" si="4"/>
        <v>1</v>
      </c>
      <c r="F126" s="11">
        <f t="shared" si="5"/>
        <v>919818000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686</v>
      </c>
      <c r="E127" s="11">
        <f t="shared" si="4"/>
        <v>1</v>
      </c>
      <c r="F127" s="11">
        <f t="shared" si="5"/>
        <v>919818000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674</v>
      </c>
      <c r="E128" s="11">
        <f t="shared" si="4"/>
        <v>0</v>
      </c>
      <c r="F128" s="11">
        <f t="shared" si="5"/>
        <v>-134800000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672</v>
      </c>
      <c r="E129" s="11">
        <f t="shared" si="4"/>
        <v>0</v>
      </c>
      <c r="F129" s="11">
        <f>B129*(D129-E129)</f>
        <v>-10495296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671</v>
      </c>
      <c r="E130" s="11">
        <f t="shared" si="4"/>
        <v>0</v>
      </c>
      <c r="F130" s="11">
        <f t="shared" si="5"/>
        <v>-134200000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670</v>
      </c>
      <c r="E131" s="11">
        <f t="shared" ref="E131:E248" si="7">IF(B131&gt;0,1,0)</f>
        <v>0</v>
      </c>
      <c r="F131" s="11">
        <f t="shared" si="5"/>
        <v>-134000000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669</v>
      </c>
      <c r="E132" s="11">
        <f t="shared" si="7"/>
        <v>0</v>
      </c>
      <c r="F132" s="11">
        <f t="shared" si="5"/>
        <v>-260910000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669</v>
      </c>
      <c r="E133" s="11">
        <f t="shared" si="7"/>
        <v>0</v>
      </c>
      <c r="F133" s="11">
        <f t="shared" si="5"/>
        <v>-16390500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668</v>
      </c>
      <c r="E134" s="11">
        <f t="shared" si="7"/>
        <v>0</v>
      </c>
      <c r="F134" s="11">
        <f t="shared" si="5"/>
        <v>-63460000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664</v>
      </c>
      <c r="E135" s="11">
        <f t="shared" si="7"/>
        <v>0</v>
      </c>
      <c r="F135" s="11">
        <f t="shared" si="5"/>
        <v>-132800000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662</v>
      </c>
      <c r="E136" s="11">
        <f t="shared" si="7"/>
        <v>1</v>
      </c>
      <c r="F136" s="11">
        <f t="shared" si="5"/>
        <v>33050000000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661</v>
      </c>
      <c r="E137" s="11">
        <f t="shared" si="7"/>
        <v>1</v>
      </c>
      <c r="F137" s="11">
        <f t="shared" si="5"/>
        <v>7920000000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659</v>
      </c>
      <c r="E138" s="11">
        <f t="shared" si="7"/>
        <v>1</v>
      </c>
      <c r="F138" s="11">
        <f t="shared" si="5"/>
        <v>1316000000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658</v>
      </c>
      <c r="E139" s="11">
        <f t="shared" si="7"/>
        <v>1</v>
      </c>
      <c r="F139" s="11">
        <f t="shared" si="5"/>
        <v>57512466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645</v>
      </c>
      <c r="E140" s="11">
        <f t="shared" si="7"/>
        <v>0</v>
      </c>
      <c r="F140" s="11">
        <f t="shared" si="5"/>
        <v>-1935580500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644</v>
      </c>
      <c r="E141" s="11">
        <f t="shared" si="7"/>
        <v>0</v>
      </c>
      <c r="F141" s="11">
        <f t="shared" si="5"/>
        <v>-1932579600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627</v>
      </c>
      <c r="E142" s="11">
        <f t="shared" si="7"/>
        <v>1</v>
      </c>
      <c r="F142" s="11">
        <f t="shared" si="5"/>
        <v>376867650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627</v>
      </c>
      <c r="E143" s="11">
        <f t="shared" si="7"/>
        <v>0</v>
      </c>
      <c r="F143" s="11">
        <f t="shared" si="5"/>
        <v>-28842000000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596</v>
      </c>
      <c r="E144" s="11">
        <f t="shared" si="7"/>
        <v>1</v>
      </c>
      <c r="F144" s="11">
        <f t="shared" si="5"/>
        <v>91693665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595</v>
      </c>
      <c r="E145" s="11">
        <f t="shared" si="7"/>
        <v>1</v>
      </c>
      <c r="F145" s="11">
        <f t="shared" si="5"/>
        <v>1782000000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592</v>
      </c>
      <c r="E146" s="11">
        <f t="shared" si="7"/>
        <v>0</v>
      </c>
      <c r="F146" s="11">
        <f t="shared" si="5"/>
        <v>-118400000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587</v>
      </c>
      <c r="E147" s="11">
        <f t="shared" si="7"/>
        <v>0</v>
      </c>
      <c r="F147" s="11">
        <f t="shared" si="5"/>
        <v>-117400000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586</v>
      </c>
      <c r="E148" s="11">
        <f t="shared" si="7"/>
        <v>0</v>
      </c>
      <c r="F148" s="11">
        <f t="shared" si="5"/>
        <v>-117200000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582</v>
      </c>
      <c r="E149" s="11">
        <f t="shared" si="7"/>
        <v>0</v>
      </c>
      <c r="F149" s="11">
        <f t="shared" si="5"/>
        <v>-116400000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581</v>
      </c>
      <c r="E150" s="11">
        <f t="shared" si="7"/>
        <v>1</v>
      </c>
      <c r="F150" s="11">
        <f t="shared" si="5"/>
        <v>13962572000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579</v>
      </c>
      <c r="E151" s="11">
        <f t="shared" si="7"/>
        <v>0</v>
      </c>
      <c r="F151" s="11">
        <f t="shared" si="5"/>
        <v>-115800000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573</v>
      </c>
      <c r="E152" s="11">
        <f t="shared" si="7"/>
        <v>0</v>
      </c>
      <c r="F152" s="11">
        <f t="shared" si="5"/>
        <v>-17190000000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572</v>
      </c>
      <c r="E153" s="11">
        <f t="shared" si="7"/>
        <v>0</v>
      </c>
      <c r="F153" s="11">
        <f t="shared" si="5"/>
        <v>-29744000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572</v>
      </c>
      <c r="E154" s="11">
        <f t="shared" si="7"/>
        <v>0</v>
      </c>
      <c r="F154" s="11">
        <f t="shared" si="5"/>
        <v>-77792000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567</v>
      </c>
      <c r="E155" s="11">
        <f t="shared" si="7"/>
        <v>1</v>
      </c>
      <c r="F155" s="11">
        <f t="shared" si="5"/>
        <v>1698000000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566</v>
      </c>
      <c r="E156" s="11">
        <f t="shared" si="7"/>
        <v>1</v>
      </c>
      <c r="F156" s="11">
        <f t="shared" si="5"/>
        <v>106843195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566</v>
      </c>
      <c r="E157" s="11">
        <f t="shared" si="7"/>
        <v>1</v>
      </c>
      <c r="F157" s="11">
        <f t="shared" si="5"/>
        <v>13688650500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558</v>
      </c>
      <c r="E158" s="11">
        <f t="shared" si="7"/>
        <v>1</v>
      </c>
      <c r="F158" s="11">
        <f t="shared" si="5"/>
        <v>13532426400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558</v>
      </c>
      <c r="E159" s="11">
        <f t="shared" si="7"/>
        <v>0</v>
      </c>
      <c r="F159" s="11">
        <f t="shared" si="5"/>
        <v>-112158000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553</v>
      </c>
      <c r="E160" s="11">
        <f t="shared" si="7"/>
        <v>0</v>
      </c>
      <c r="F160" s="11">
        <f t="shared" si="5"/>
        <v>-110600000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550</v>
      </c>
      <c r="E161" s="11">
        <f t="shared" si="7"/>
        <v>0</v>
      </c>
      <c r="F161" s="11">
        <f t="shared" si="5"/>
        <v>-110000000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546</v>
      </c>
      <c r="E162" s="11">
        <f t="shared" si="7"/>
        <v>0</v>
      </c>
      <c r="F162" s="11">
        <f t="shared" si="5"/>
        <v>-109200000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543</v>
      </c>
      <c r="E163" s="11">
        <f t="shared" si="7"/>
        <v>0</v>
      </c>
      <c r="F163" s="11">
        <f t="shared" si="5"/>
        <v>-108600000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536</v>
      </c>
      <c r="E164" s="11">
        <f t="shared" si="7"/>
        <v>1</v>
      </c>
      <c r="F164" s="11">
        <f t="shared" si="5"/>
        <v>244855590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533</v>
      </c>
      <c r="E165" s="11">
        <f t="shared" si="7"/>
        <v>1</v>
      </c>
      <c r="F165" s="11">
        <f t="shared" si="5"/>
        <v>1436400000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533</v>
      </c>
      <c r="E166" s="11">
        <f t="shared" si="7"/>
        <v>1</v>
      </c>
      <c r="F166" s="11">
        <f t="shared" si="5"/>
        <v>1330000000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526</v>
      </c>
      <c r="E167" s="11">
        <f t="shared" si="7"/>
        <v>0</v>
      </c>
      <c r="F167" s="11">
        <f t="shared" si="5"/>
        <v>-105200000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524</v>
      </c>
      <c r="E168" s="11">
        <f t="shared" si="7"/>
        <v>0</v>
      </c>
      <c r="F168" s="11">
        <f t="shared" si="5"/>
        <v>-104800000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518</v>
      </c>
      <c r="E169" s="11">
        <f t="shared" si="7"/>
        <v>0</v>
      </c>
      <c r="F169" s="11">
        <f t="shared" si="5"/>
        <v>-103600000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515</v>
      </c>
      <c r="E170" s="11">
        <f t="shared" si="7"/>
        <v>0</v>
      </c>
      <c r="F170" s="11">
        <f t="shared" si="5"/>
        <v>-103000000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515</v>
      </c>
      <c r="E171" s="11">
        <f t="shared" si="7"/>
        <v>1</v>
      </c>
      <c r="F171" s="11">
        <f t="shared" si="5"/>
        <v>1542000000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512</v>
      </c>
      <c r="E172" s="11">
        <f t="shared" si="7"/>
        <v>0</v>
      </c>
      <c r="F172" s="11">
        <f t="shared" si="5"/>
        <v>-102400000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511</v>
      </c>
      <c r="E173" s="11">
        <f t="shared" si="7"/>
        <v>1</v>
      </c>
      <c r="F173" s="11">
        <f t="shared" si="5"/>
        <v>1530000000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510</v>
      </c>
      <c r="E174" s="11">
        <f t="shared" si="7"/>
        <v>1</v>
      </c>
      <c r="F174" s="11">
        <f t="shared" si="5"/>
        <v>1018000000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509</v>
      </c>
      <c r="E175" s="11">
        <f t="shared" si="7"/>
        <v>1</v>
      </c>
      <c r="F175" s="11">
        <f t="shared" si="5"/>
        <v>660400000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507</v>
      </c>
      <c r="E176" s="11">
        <f t="shared" si="7"/>
        <v>0</v>
      </c>
      <c r="F176" s="11">
        <f t="shared" si="5"/>
        <v>-101400000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507</v>
      </c>
      <c r="E177" s="11">
        <f t="shared" si="7"/>
        <v>1</v>
      </c>
      <c r="F177" s="11">
        <f t="shared" si="5"/>
        <v>860200000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506</v>
      </c>
      <c r="E178" s="11">
        <f t="shared" si="7"/>
        <v>0</v>
      </c>
      <c r="F178" s="11">
        <f t="shared" si="5"/>
        <v>-101200000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505</v>
      </c>
      <c r="E179" s="11">
        <f t="shared" si="7"/>
        <v>1</v>
      </c>
      <c r="F179" s="11">
        <f t="shared" si="5"/>
        <v>288031968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502</v>
      </c>
      <c r="E180" s="11">
        <f t="shared" si="7"/>
        <v>1</v>
      </c>
      <c r="F180" s="11">
        <f t="shared" si="5"/>
        <v>1503000000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495</v>
      </c>
      <c r="E181" s="11">
        <f t="shared" si="7"/>
        <v>1</v>
      </c>
      <c r="F181" s="11">
        <f t="shared" si="5"/>
        <v>988000000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487</v>
      </c>
      <c r="E182" s="11">
        <f t="shared" si="7"/>
        <v>0</v>
      </c>
      <c r="F182" s="11">
        <f t="shared" si="5"/>
        <v>-1071740900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475</v>
      </c>
      <c r="E183" s="11">
        <f t="shared" si="7"/>
        <v>1</v>
      </c>
      <c r="F183" s="11">
        <f t="shared" si="5"/>
        <v>319991238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445</v>
      </c>
      <c r="E184" s="11">
        <f t="shared" si="7"/>
        <v>1</v>
      </c>
      <c r="F184" s="11">
        <f t="shared" si="5"/>
        <v>300588000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430</v>
      </c>
      <c r="E185" s="11">
        <f t="shared" si="7"/>
        <v>0</v>
      </c>
      <c r="F185" s="11">
        <f t="shared" si="5"/>
        <v>-4300000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425</v>
      </c>
      <c r="E186" s="11">
        <f t="shared" si="7"/>
        <v>0</v>
      </c>
      <c r="F186" s="11">
        <f t="shared" si="5"/>
        <v>-34212500000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420</v>
      </c>
      <c r="E187" s="11">
        <f t="shared" si="7"/>
        <v>0</v>
      </c>
      <c r="F187" s="11">
        <f t="shared" si="5"/>
        <v>-462000000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420</v>
      </c>
      <c r="E188" s="11">
        <f t="shared" si="7"/>
        <v>1</v>
      </c>
      <c r="F188" s="11">
        <f t="shared" si="5"/>
        <v>1257000000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419</v>
      </c>
      <c r="E189" s="11">
        <f t="shared" si="7"/>
        <v>1</v>
      </c>
      <c r="F189" s="11">
        <f t="shared" si="5"/>
        <v>836000000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419</v>
      </c>
      <c r="E190" s="11">
        <f t="shared" si="7"/>
        <v>0</v>
      </c>
      <c r="F190" s="11">
        <f t="shared" si="5"/>
        <v>-2095000000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418</v>
      </c>
      <c r="E191" s="11">
        <f t="shared" si="7"/>
        <v>1</v>
      </c>
      <c r="F191" s="11">
        <f t="shared" si="5"/>
        <v>201514416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414</v>
      </c>
      <c r="E192" s="11">
        <f t="shared" si="7"/>
        <v>0</v>
      </c>
      <c r="F192" s="11">
        <f t="shared" si="5"/>
        <v>-47734200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410</v>
      </c>
      <c r="E193" s="11">
        <f t="shared" si="7"/>
        <v>1</v>
      </c>
      <c r="F193" s="11">
        <f t="shared" si="5"/>
        <v>36810000000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403</v>
      </c>
      <c r="E194" s="11">
        <f t="shared" si="7"/>
        <v>1</v>
      </c>
      <c r="F194" s="11">
        <f t="shared" si="5"/>
        <v>20904000000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403</v>
      </c>
      <c r="E195" s="11">
        <f t="shared" si="7"/>
        <v>1</v>
      </c>
      <c r="F195" s="99">
        <f t="shared" si="5"/>
        <v>10050000000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403</v>
      </c>
      <c r="E196" s="99">
        <f t="shared" si="7"/>
        <v>0</v>
      </c>
      <c r="F196" s="99">
        <f t="shared" si="5"/>
        <v>-67704000000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396</v>
      </c>
      <c r="E197" s="99">
        <f t="shared" si="7"/>
        <v>0</v>
      </c>
      <c r="F197" s="99">
        <f t="shared" si="5"/>
        <v>-65538000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392</v>
      </c>
      <c r="E198" s="99">
        <f t="shared" si="7"/>
        <v>0</v>
      </c>
      <c r="F198" s="99">
        <f t="shared" si="5"/>
        <v>-78400000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392</v>
      </c>
      <c r="E199" s="99">
        <f t="shared" si="7"/>
        <v>0</v>
      </c>
      <c r="F199" s="99">
        <f t="shared" si="5"/>
        <v>-18416552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389</v>
      </c>
      <c r="E200" s="99">
        <f t="shared" si="7"/>
        <v>0</v>
      </c>
      <c r="F200" s="99">
        <f t="shared" si="5"/>
        <v>-1808850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387</v>
      </c>
      <c r="E201" s="99">
        <f t="shared" si="7"/>
        <v>1</v>
      </c>
      <c r="F201" s="99">
        <f t="shared" si="5"/>
        <v>61693608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384</v>
      </c>
      <c r="E202" s="99">
        <f t="shared" si="7"/>
        <v>0</v>
      </c>
      <c r="F202" s="99">
        <f t="shared" si="5"/>
        <v>-115392000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384</v>
      </c>
      <c r="E203" s="99">
        <f t="shared" si="7"/>
        <v>1</v>
      </c>
      <c r="F203" s="99">
        <f t="shared" si="5"/>
        <v>2298000000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382</v>
      </c>
      <c r="E204" s="99">
        <f t="shared" si="7"/>
        <v>0</v>
      </c>
      <c r="F204" s="99">
        <f t="shared" si="5"/>
        <v>-261670000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381</v>
      </c>
      <c r="E205" s="99">
        <f t="shared" si="7"/>
        <v>0</v>
      </c>
      <c r="F205" s="99">
        <f t="shared" si="5"/>
        <v>-1143000000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380</v>
      </c>
      <c r="E206" s="99">
        <f t="shared" si="7"/>
        <v>0</v>
      </c>
      <c r="F206" s="99">
        <f t="shared" si="5"/>
        <v>-59280000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379</v>
      </c>
      <c r="E207" s="99">
        <f t="shared" si="7"/>
        <v>0</v>
      </c>
      <c r="F207" s="99">
        <f t="shared" si="5"/>
        <v>-25014000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378</v>
      </c>
      <c r="E208" s="99">
        <f t="shared" si="7"/>
        <v>0</v>
      </c>
      <c r="F208" s="99">
        <f t="shared" si="5"/>
        <v>-945340200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376</v>
      </c>
      <c r="E209" s="99">
        <f t="shared" si="7"/>
        <v>1</v>
      </c>
      <c r="F209" s="99">
        <f t="shared" si="5"/>
        <v>1125000000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376</v>
      </c>
      <c r="E210" s="99">
        <f t="shared" si="7"/>
        <v>0</v>
      </c>
      <c r="F210" s="99">
        <f t="shared" si="5"/>
        <v>-978126400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374</v>
      </c>
      <c r="E211" s="99">
        <f t="shared" si="7"/>
        <v>1</v>
      </c>
      <c r="F211" s="99">
        <f t="shared" si="5"/>
        <v>373000000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372</v>
      </c>
      <c r="E212" s="99">
        <f t="shared" si="7"/>
        <v>1</v>
      </c>
      <c r="F212" s="99">
        <f t="shared" si="5"/>
        <v>500850000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371</v>
      </c>
      <c r="E213" s="99">
        <f t="shared" si="7"/>
        <v>0</v>
      </c>
      <c r="F213" s="99">
        <f t="shared" si="5"/>
        <v>-816200000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371</v>
      </c>
      <c r="E214" s="99">
        <f t="shared" si="7"/>
        <v>0</v>
      </c>
      <c r="F214" s="99">
        <f t="shared" si="5"/>
        <v>-185685500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368</v>
      </c>
      <c r="E215" s="99">
        <f t="shared" si="7"/>
        <v>0</v>
      </c>
      <c r="F215" s="99">
        <f t="shared" si="5"/>
        <v>-16560000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368</v>
      </c>
      <c r="E216" s="99">
        <f t="shared" si="7"/>
        <v>1</v>
      </c>
      <c r="F216" s="99">
        <f t="shared" si="5"/>
        <v>367000000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368</v>
      </c>
      <c r="E217" s="99">
        <f t="shared" si="7"/>
        <v>0</v>
      </c>
      <c r="F217" s="99">
        <f t="shared" si="5"/>
        <v>-36800000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367</v>
      </c>
      <c r="E218" s="99">
        <f t="shared" si="7"/>
        <v>0</v>
      </c>
      <c r="F218" s="99">
        <f t="shared" si="5"/>
        <v>-110100000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364</v>
      </c>
      <c r="E219" s="99">
        <f t="shared" si="7"/>
        <v>0</v>
      </c>
      <c r="F219" s="99">
        <f t="shared" si="5"/>
        <v>-18531240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364</v>
      </c>
      <c r="E220" s="99">
        <f t="shared" si="7"/>
        <v>0</v>
      </c>
      <c r="F220" s="99">
        <f t="shared" si="5"/>
        <v>-200382000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362</v>
      </c>
      <c r="E221" s="99">
        <f t="shared" si="7"/>
        <v>1</v>
      </c>
      <c r="F221" s="99">
        <f t="shared" si="5"/>
        <v>577600000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361</v>
      </c>
      <c r="E222" s="99">
        <f t="shared" si="7"/>
        <v>0</v>
      </c>
      <c r="F222" s="99">
        <f t="shared" si="5"/>
        <v>-541752700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356</v>
      </c>
      <c r="E223" s="99">
        <f t="shared" si="7"/>
        <v>1</v>
      </c>
      <c r="F223" s="99">
        <f t="shared" si="5"/>
        <v>3059745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353</v>
      </c>
      <c r="E224" s="99">
        <f t="shared" si="7"/>
        <v>1</v>
      </c>
      <c r="F224" s="99">
        <f t="shared" si="5"/>
        <v>1056000000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351</v>
      </c>
      <c r="E225" s="99">
        <f t="shared" si="7"/>
        <v>0</v>
      </c>
      <c r="F225" s="99">
        <f t="shared" si="5"/>
        <v>-1053315900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350</v>
      </c>
      <c r="E226" s="99">
        <f t="shared" si="7"/>
        <v>1</v>
      </c>
      <c r="F226" s="99">
        <f t="shared" si="5"/>
        <v>1047000000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350</v>
      </c>
      <c r="E227" s="99">
        <f t="shared" si="7"/>
        <v>0</v>
      </c>
      <c r="F227" s="99">
        <f t="shared" si="5"/>
        <v>-61390000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349</v>
      </c>
      <c r="E228" s="99">
        <f t="shared" si="7"/>
        <v>0</v>
      </c>
      <c r="F228" s="99">
        <f t="shared" si="5"/>
        <v>-418974500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349</v>
      </c>
      <c r="E229" s="99">
        <f t="shared" si="7"/>
        <v>0</v>
      </c>
      <c r="F229" s="99">
        <f t="shared" si="5"/>
        <v>-7173695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348</v>
      </c>
      <c r="E230" s="99">
        <f t="shared" si="7"/>
        <v>0</v>
      </c>
      <c r="F230" s="99">
        <f t="shared" si="5"/>
        <v>-353034168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347</v>
      </c>
      <c r="E231" s="99">
        <f t="shared" si="7"/>
        <v>0</v>
      </c>
      <c r="F231" s="99">
        <f t="shared" si="5"/>
        <v>-8406075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346</v>
      </c>
      <c r="E232" s="99">
        <f t="shared" si="7"/>
        <v>1</v>
      </c>
      <c r="F232" s="99">
        <f t="shared" si="5"/>
        <v>379500000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346</v>
      </c>
      <c r="E233" s="99">
        <f t="shared" si="7"/>
        <v>0</v>
      </c>
      <c r="F233" s="99">
        <f t="shared" si="5"/>
        <v>-51173400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342</v>
      </c>
      <c r="E234" s="99">
        <f t="shared" si="7"/>
        <v>0</v>
      </c>
      <c r="F234" s="99">
        <f t="shared" si="5"/>
        <v>-23244030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337</v>
      </c>
      <c r="E235" s="99">
        <f t="shared" si="7"/>
        <v>0</v>
      </c>
      <c r="F235" s="99">
        <f t="shared" si="5"/>
        <v>-38665358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336</v>
      </c>
      <c r="E236" s="99">
        <f t="shared" si="7"/>
        <v>0</v>
      </c>
      <c r="F236" s="99">
        <f t="shared" si="5"/>
        <v>-120960000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336</v>
      </c>
      <c r="E237" s="99">
        <f t="shared" si="7"/>
        <v>0</v>
      </c>
      <c r="F237" s="99">
        <f t="shared" si="5"/>
        <v>-70896000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336</v>
      </c>
      <c r="E238" s="99">
        <f t="shared" si="7"/>
        <v>0</v>
      </c>
      <c r="F238" s="99">
        <f t="shared" si="5"/>
        <v>-63739200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335</v>
      </c>
      <c r="E239" s="99">
        <f t="shared" si="7"/>
        <v>0</v>
      </c>
      <c r="F239" s="99">
        <f t="shared" si="5"/>
        <v>-134167500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335</v>
      </c>
      <c r="E240" s="99">
        <f t="shared" si="7"/>
        <v>1</v>
      </c>
      <c r="F240" s="99">
        <f t="shared" si="5"/>
        <v>133600000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332</v>
      </c>
      <c r="E241" s="99">
        <f t="shared" si="7"/>
        <v>0</v>
      </c>
      <c r="F241" s="99">
        <f t="shared" si="5"/>
        <v>-106530500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325</v>
      </c>
      <c r="E242" s="99">
        <f t="shared" si="7"/>
        <v>1</v>
      </c>
      <c r="F242" s="99">
        <f t="shared" si="5"/>
        <v>1967976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323</v>
      </c>
      <c r="E243" s="99">
        <f t="shared" si="7"/>
        <v>0</v>
      </c>
      <c r="F243" s="99">
        <f t="shared" si="5"/>
        <v>-119671500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308</v>
      </c>
      <c r="E244" s="99">
        <f t="shared" si="7"/>
        <v>1</v>
      </c>
      <c r="F244" s="99">
        <f t="shared" si="5"/>
        <v>921000000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306</v>
      </c>
      <c r="E245" s="99">
        <f t="shared" si="7"/>
        <v>0</v>
      </c>
      <c r="F245" s="99">
        <f t="shared" si="5"/>
        <v>-24480000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305</v>
      </c>
      <c r="E246" s="99">
        <f t="shared" si="7"/>
        <v>0</v>
      </c>
      <c r="F246" s="99">
        <f t="shared" si="5"/>
        <v>-823500000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305</v>
      </c>
      <c r="E247" s="99">
        <f t="shared" si="7"/>
        <v>0</v>
      </c>
      <c r="F247" s="99">
        <f t="shared" si="5"/>
        <v>-9150000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303</v>
      </c>
      <c r="E248" s="99">
        <f t="shared" si="7"/>
        <v>0</v>
      </c>
      <c r="F248" s="99">
        <f t="shared" si="5"/>
        <v>-36360000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302</v>
      </c>
      <c r="E249" s="99">
        <f>IF(B250&gt;0,1,0)</f>
        <v>1</v>
      </c>
      <c r="F249" s="99">
        <f>B250*(D249-E249)</f>
        <v>240800000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301</v>
      </c>
      <c r="E250" s="99">
        <f>IF(B251&gt;0,1,0)</f>
        <v>0</v>
      </c>
      <c r="F250" s="99">
        <f>B251*(D250-E250)</f>
        <v>-5854450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300</v>
      </c>
      <c r="E251" s="99">
        <f>IF(B252&gt;0,1,0)</f>
        <v>0</v>
      </c>
      <c r="F251" s="99">
        <f>B252*(D251-E251)</f>
        <v>-150000000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300</v>
      </c>
      <c r="E252" s="99">
        <f>IF(B253&gt;0,1,0)</f>
        <v>1</v>
      </c>
      <c r="F252" s="99">
        <f>B253*(D252-E252)</f>
        <v>149500000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300</v>
      </c>
      <c r="E253" s="99">
        <f t="shared" ref="E253:E275" si="9">IF(B254&gt;0,1,0)</f>
        <v>0</v>
      </c>
      <c r="F253" s="99">
        <f>B254*(D253-E253)</f>
        <v>-136383900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300</v>
      </c>
      <c r="E254" s="99">
        <f t="shared" si="9"/>
        <v>0</v>
      </c>
      <c r="F254" s="99">
        <f t="shared" ref="F254:F275" si="10">B255*(D254-E254)</f>
        <v>-5880000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299</v>
      </c>
      <c r="E255" s="99">
        <f t="shared" si="9"/>
        <v>0</v>
      </c>
      <c r="F255" s="99">
        <f t="shared" si="10"/>
        <v>-7540780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299</v>
      </c>
      <c r="E256" s="99">
        <f t="shared" si="9"/>
        <v>0</v>
      </c>
      <c r="F256" s="99">
        <f t="shared" si="10"/>
        <v>-44700500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298</v>
      </c>
      <c r="E257" s="99">
        <f t="shared" si="9"/>
        <v>0</v>
      </c>
      <c r="F257" s="99">
        <f t="shared" si="10"/>
        <v>-46190000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298</v>
      </c>
      <c r="E258" s="99">
        <f t="shared" si="9"/>
        <v>0</v>
      </c>
      <c r="F258" s="99">
        <f t="shared" si="10"/>
        <v>-1490000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216</v>
      </c>
      <c r="E259" s="99">
        <f t="shared" si="9"/>
        <v>1</v>
      </c>
      <c r="F259" s="99">
        <f t="shared" si="10"/>
        <v>21500000</v>
      </c>
      <c r="G259" s="99" t="s">
        <v>4248</v>
      </c>
    </row>
    <row r="260" spans="1:11">
      <c r="A260" s="99" t="s">
        <v>4573</v>
      </c>
      <c r="B260" s="113">
        <v>100000</v>
      </c>
      <c r="C260" s="99">
        <v>1</v>
      </c>
      <c r="D260" s="99">
        <f t="shared" si="8"/>
        <v>134</v>
      </c>
      <c r="E260" s="99">
        <f t="shared" si="9"/>
        <v>1</v>
      </c>
      <c r="F260" s="99">
        <f t="shared" si="10"/>
        <v>399000000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133</v>
      </c>
      <c r="E261" s="99">
        <f t="shared" si="9"/>
        <v>0</v>
      </c>
      <c r="F261" s="99">
        <f t="shared" si="10"/>
        <v>-8844500</v>
      </c>
      <c r="G261" s="99" t="s">
        <v>3891</v>
      </c>
    </row>
    <row r="262" spans="1:11">
      <c r="A262" s="99" t="s">
        <v>4587</v>
      </c>
      <c r="B262" s="113">
        <v>-66500</v>
      </c>
      <c r="C262" s="99">
        <v>2</v>
      </c>
      <c r="D262" s="99">
        <f t="shared" si="8"/>
        <v>130</v>
      </c>
      <c r="E262" s="99">
        <f t="shared" si="9"/>
        <v>0</v>
      </c>
      <c r="F262" s="99">
        <f t="shared" si="10"/>
        <v>-4924140</v>
      </c>
      <c r="G262" s="99" t="s">
        <v>3964</v>
      </c>
      <c r="K262" t="s">
        <v>25</v>
      </c>
    </row>
    <row r="263" spans="1:11">
      <c r="A263" s="99" t="s">
        <v>4588</v>
      </c>
      <c r="B263" s="113">
        <v>-37878</v>
      </c>
      <c r="C263" s="99">
        <v>2</v>
      </c>
      <c r="D263" s="99">
        <f t="shared" si="8"/>
        <v>128</v>
      </c>
      <c r="E263" s="99">
        <f t="shared" si="9"/>
        <v>0</v>
      </c>
      <c r="F263" s="99">
        <f t="shared" si="10"/>
        <v>-5312000</v>
      </c>
      <c r="G263" s="99" t="s">
        <v>4589</v>
      </c>
      <c r="J263" t="s">
        <v>25</v>
      </c>
      <c r="K263" t="s">
        <v>25</v>
      </c>
    </row>
    <row r="264" spans="1:11">
      <c r="A264" s="99" t="s">
        <v>4583</v>
      </c>
      <c r="B264" s="113">
        <v>-41500</v>
      </c>
      <c r="C264" s="99">
        <v>3</v>
      </c>
      <c r="D264" s="99">
        <f t="shared" si="8"/>
        <v>126</v>
      </c>
      <c r="E264" s="99">
        <f t="shared" si="9"/>
        <v>0</v>
      </c>
      <c r="F264" s="99">
        <f t="shared" si="10"/>
        <v>-23940000</v>
      </c>
      <c r="G264" s="99" t="s">
        <v>1039</v>
      </c>
      <c r="J264" t="s">
        <v>25</v>
      </c>
    </row>
    <row r="265" spans="1:11">
      <c r="A265" s="99" t="s">
        <v>4615</v>
      </c>
      <c r="B265" s="113">
        <v>-190000</v>
      </c>
      <c r="C265" s="99">
        <v>1</v>
      </c>
      <c r="D265" s="99">
        <f t="shared" si="8"/>
        <v>123</v>
      </c>
      <c r="E265" s="99">
        <f t="shared" si="9"/>
        <v>0</v>
      </c>
      <c r="F265" s="99">
        <f t="shared" si="10"/>
        <v>-6765000</v>
      </c>
      <c r="G265" s="99"/>
    </row>
    <row r="266" spans="1:11">
      <c r="A266" s="99" t="s">
        <v>4614</v>
      </c>
      <c r="B266" s="113">
        <v>-55000</v>
      </c>
      <c r="C266" s="99">
        <v>1</v>
      </c>
      <c r="D266" s="99">
        <f t="shared" si="8"/>
        <v>122</v>
      </c>
      <c r="E266" s="99">
        <f t="shared" si="9"/>
        <v>0</v>
      </c>
      <c r="F266" s="99">
        <f t="shared" si="10"/>
        <v>-3586190</v>
      </c>
      <c r="G266" s="99"/>
    </row>
    <row r="267" spans="1:11">
      <c r="A267" s="99" t="s">
        <v>4603</v>
      </c>
      <c r="B267" s="113">
        <v>-29395</v>
      </c>
      <c r="C267" s="99">
        <v>2</v>
      </c>
      <c r="D267" s="99">
        <f t="shared" si="8"/>
        <v>121</v>
      </c>
      <c r="E267" s="99">
        <f t="shared" si="9"/>
        <v>0</v>
      </c>
      <c r="F267" s="99">
        <f t="shared" si="10"/>
        <v>-6050000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119</v>
      </c>
      <c r="E268" s="99">
        <f t="shared" si="9"/>
        <v>0</v>
      </c>
      <c r="F268" s="99">
        <f t="shared" si="10"/>
        <v>-9520000</v>
      </c>
      <c r="G268" s="99"/>
    </row>
    <row r="269" spans="1:11">
      <c r="A269" s="99" t="s">
        <v>4617</v>
      </c>
      <c r="B269" s="113">
        <v>-80000</v>
      </c>
      <c r="C269" s="99">
        <v>1</v>
      </c>
      <c r="D269" s="99">
        <f t="shared" si="8"/>
        <v>118</v>
      </c>
      <c r="E269" s="99">
        <f t="shared" si="9"/>
        <v>0</v>
      </c>
      <c r="F269" s="99">
        <f t="shared" si="10"/>
        <v>-11671262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117</v>
      </c>
      <c r="E270" s="99">
        <f t="shared" si="9"/>
        <v>0</v>
      </c>
      <c r="F270" s="99">
        <f t="shared" si="10"/>
        <v>-1097460</v>
      </c>
      <c r="G270" s="99"/>
    </row>
    <row r="271" spans="1:11">
      <c r="A271" s="99" t="s">
        <v>4622</v>
      </c>
      <c r="B271" s="113">
        <v>-9380</v>
      </c>
      <c r="C271" s="99">
        <v>0</v>
      </c>
      <c r="D271" s="99">
        <f t="shared" si="8"/>
        <v>114</v>
      </c>
      <c r="E271" s="99">
        <f t="shared" si="9"/>
        <v>0</v>
      </c>
      <c r="F271" s="99">
        <f t="shared" si="10"/>
        <v>-273600000</v>
      </c>
      <c r="G271" s="99"/>
    </row>
    <row r="272" spans="1:11">
      <c r="A272" s="99" t="s">
        <v>4622</v>
      </c>
      <c r="B272" s="113">
        <v>-2400000</v>
      </c>
      <c r="C272" s="99">
        <v>3</v>
      </c>
      <c r="D272" s="99">
        <f t="shared" si="8"/>
        <v>114</v>
      </c>
      <c r="E272" s="99">
        <f t="shared" si="9"/>
        <v>1</v>
      </c>
      <c r="F272" s="99">
        <f t="shared" si="10"/>
        <v>1695000</v>
      </c>
      <c r="G272" s="99"/>
    </row>
    <row r="273" spans="1:11">
      <c r="A273" s="99" t="s">
        <v>4633</v>
      </c>
      <c r="B273" s="113">
        <v>15000</v>
      </c>
      <c r="C273" s="99">
        <v>93</v>
      </c>
      <c r="D273" s="99">
        <f t="shared" si="8"/>
        <v>111</v>
      </c>
      <c r="E273" s="99">
        <f t="shared" si="9"/>
        <v>1</v>
      </c>
      <c r="F273" s="99">
        <f t="shared" si="10"/>
        <v>385000000</v>
      </c>
      <c r="G273" s="99"/>
    </row>
    <row r="274" spans="1:11">
      <c r="A274" s="99" t="s">
        <v>4963</v>
      </c>
      <c r="B274" s="113">
        <v>3500000</v>
      </c>
      <c r="C274" s="99">
        <v>0</v>
      </c>
      <c r="D274" s="99">
        <f t="shared" si="8"/>
        <v>18</v>
      </c>
      <c r="E274" s="99">
        <f t="shared" si="9"/>
        <v>0</v>
      </c>
      <c r="F274" s="99">
        <f t="shared" si="10"/>
        <v>-4032216</v>
      </c>
      <c r="G274" s="99"/>
    </row>
    <row r="275" spans="1:11">
      <c r="A275" s="99" t="s">
        <v>4963</v>
      </c>
      <c r="B275" s="113">
        <v>-224012</v>
      </c>
      <c r="C275" s="99">
        <v>2</v>
      </c>
      <c r="D275" s="99">
        <f t="shared" si="8"/>
        <v>18</v>
      </c>
      <c r="E275" s="99">
        <f t="shared" si="9"/>
        <v>0</v>
      </c>
      <c r="F275" s="99">
        <f t="shared" si="10"/>
        <v>-1884078</v>
      </c>
      <c r="G275" s="99"/>
    </row>
    <row r="276" spans="1:11">
      <c r="A276" s="99" t="s">
        <v>4986</v>
      </c>
      <c r="B276" s="113">
        <v>-104671</v>
      </c>
      <c r="C276" s="99">
        <v>1</v>
      </c>
      <c r="D276" s="99">
        <f t="shared" ref="D276:D280" si="11">D277+C276</f>
        <v>16</v>
      </c>
      <c r="E276" s="99">
        <f t="shared" ref="E276:E280" si="12">IF(B277&gt;0,1,0)</f>
        <v>0</v>
      </c>
      <c r="F276" s="99">
        <f t="shared" ref="F276:F280" si="13">B277*(D276-E276)</f>
        <v>-4352000</v>
      </c>
      <c r="G276" s="99"/>
    </row>
    <row r="277" spans="1:11">
      <c r="A277" s="99" t="s">
        <v>4988</v>
      </c>
      <c r="B277" s="113">
        <v>-272000</v>
      </c>
      <c r="C277" s="99">
        <v>1</v>
      </c>
      <c r="D277" s="99">
        <f t="shared" si="11"/>
        <v>15</v>
      </c>
      <c r="E277" s="99">
        <f t="shared" si="12"/>
        <v>0</v>
      </c>
      <c r="F277" s="99">
        <f t="shared" si="13"/>
        <v>-38476170</v>
      </c>
      <c r="G277" s="99"/>
    </row>
    <row r="278" spans="1:11">
      <c r="A278" s="99" t="s">
        <v>4990</v>
      </c>
      <c r="B278" s="113">
        <v>-2565078</v>
      </c>
      <c r="C278" s="99">
        <v>2</v>
      </c>
      <c r="D278" s="99">
        <f t="shared" si="11"/>
        <v>14</v>
      </c>
      <c r="E278" s="99">
        <f t="shared" si="12"/>
        <v>0</v>
      </c>
      <c r="F278" s="99">
        <f t="shared" si="13"/>
        <v>-2989000</v>
      </c>
      <c r="G278" s="99"/>
    </row>
    <row r="279" spans="1:11">
      <c r="A279" s="99" t="s">
        <v>4935</v>
      </c>
      <c r="B279" s="113">
        <v>-213500</v>
      </c>
      <c r="C279" s="99">
        <v>1</v>
      </c>
      <c r="D279" s="99">
        <f t="shared" si="11"/>
        <v>12</v>
      </c>
      <c r="E279" s="99">
        <f t="shared" si="12"/>
        <v>0</v>
      </c>
      <c r="F279" s="99">
        <f t="shared" si="13"/>
        <v>-45720</v>
      </c>
      <c r="G279" s="99"/>
    </row>
    <row r="280" spans="1:11">
      <c r="A280" s="99" t="s">
        <v>5008</v>
      </c>
      <c r="B280" s="113">
        <v>-3810</v>
      </c>
      <c r="C280" s="99">
        <v>1</v>
      </c>
      <c r="D280" s="99">
        <f t="shared" si="11"/>
        <v>11</v>
      </c>
      <c r="E280" s="99">
        <f t="shared" si="12"/>
        <v>0</v>
      </c>
      <c r="F280" s="99">
        <f t="shared" si="13"/>
        <v>-1326952</v>
      </c>
      <c r="G280" s="99"/>
      <c r="J280" t="s">
        <v>25</v>
      </c>
    </row>
    <row r="281" spans="1:11">
      <c r="A281" s="99" t="s">
        <v>5009</v>
      </c>
      <c r="B281" s="113">
        <v>-120632</v>
      </c>
      <c r="C281" s="99">
        <v>1</v>
      </c>
      <c r="D281" s="99">
        <f t="shared" ref="D281:D288" si="14">D282+C281</f>
        <v>10</v>
      </c>
      <c r="E281" s="99">
        <f t="shared" ref="E281:E288" si="15">IF(B282&gt;0,1,0)</f>
        <v>1</v>
      </c>
      <c r="F281" s="99">
        <f t="shared" ref="F281:F288" si="16">B282*(D281-E281)</f>
        <v>720000</v>
      </c>
      <c r="G281" s="99"/>
      <c r="J281" t="s">
        <v>25</v>
      </c>
    </row>
    <row r="282" spans="1:11">
      <c r="A282" s="99" t="s">
        <v>4996</v>
      </c>
      <c r="B282" s="113">
        <v>80000</v>
      </c>
      <c r="C282" s="99">
        <v>0</v>
      </c>
      <c r="D282" s="99">
        <f t="shared" si="14"/>
        <v>9</v>
      </c>
      <c r="E282" s="99">
        <f t="shared" si="15"/>
        <v>0</v>
      </c>
      <c r="F282" s="99">
        <f t="shared" si="16"/>
        <v>-22500</v>
      </c>
      <c r="G282" s="99"/>
    </row>
    <row r="283" spans="1:11">
      <c r="A283" s="99" t="s">
        <v>4996</v>
      </c>
      <c r="B283" s="113">
        <v>-2500</v>
      </c>
      <c r="C283" s="99">
        <v>1</v>
      </c>
      <c r="D283" s="99">
        <f t="shared" si="14"/>
        <v>9</v>
      </c>
      <c r="E283" s="99">
        <f t="shared" si="15"/>
        <v>0</v>
      </c>
      <c r="F283" s="99">
        <f t="shared" si="16"/>
        <v>-270000</v>
      </c>
      <c r="G283" s="99"/>
      <c r="J283" s="114">
        <f>B315-498804</f>
        <v>-416500</v>
      </c>
    </row>
    <row r="284" spans="1:11">
      <c r="A284" s="99" t="s">
        <v>5001</v>
      </c>
      <c r="B284" s="113">
        <v>-30000</v>
      </c>
      <c r="C284" s="99">
        <v>1</v>
      </c>
      <c r="D284" s="99">
        <f t="shared" si="14"/>
        <v>8</v>
      </c>
      <c r="E284" s="99">
        <f t="shared" si="15"/>
        <v>0</v>
      </c>
      <c r="F284" s="99">
        <f t="shared" si="16"/>
        <v>-158400</v>
      </c>
      <c r="G284" s="99"/>
    </row>
    <row r="285" spans="1:11">
      <c r="A285" s="99" t="s">
        <v>5010</v>
      </c>
      <c r="B285" s="113">
        <v>-19800</v>
      </c>
      <c r="C285" s="99">
        <v>1</v>
      </c>
      <c r="D285" s="99">
        <f t="shared" si="14"/>
        <v>7</v>
      </c>
      <c r="E285" s="99">
        <f t="shared" si="15"/>
        <v>1</v>
      </c>
      <c r="F285" s="99">
        <f t="shared" si="16"/>
        <v>5640000</v>
      </c>
      <c r="G285" s="99"/>
      <c r="K285" t="s">
        <v>25</v>
      </c>
    </row>
    <row r="286" spans="1:11">
      <c r="A286" s="99" t="s">
        <v>5000</v>
      </c>
      <c r="B286" s="113">
        <v>940000</v>
      </c>
      <c r="C286" s="99">
        <v>0</v>
      </c>
      <c r="D286" s="99">
        <f t="shared" si="14"/>
        <v>6</v>
      </c>
      <c r="E286" s="99">
        <f t="shared" si="15"/>
        <v>0</v>
      </c>
      <c r="F286" s="99">
        <f t="shared" si="16"/>
        <v>-1206000</v>
      </c>
      <c r="G286" s="99"/>
    </row>
    <row r="287" spans="1:11">
      <c r="A287" s="99" t="s">
        <v>5000</v>
      </c>
      <c r="B287" s="113">
        <v>-201000</v>
      </c>
      <c r="C287" s="99">
        <v>1</v>
      </c>
      <c r="D287" s="99">
        <f t="shared" si="14"/>
        <v>6</v>
      </c>
      <c r="E287" s="99">
        <f t="shared" si="15"/>
        <v>0</v>
      </c>
      <c r="F287" s="99">
        <f t="shared" si="16"/>
        <v>-1925580</v>
      </c>
      <c r="G287" s="99"/>
    </row>
    <row r="288" spans="1:11">
      <c r="A288" s="99" t="s">
        <v>5006</v>
      </c>
      <c r="B288" s="113">
        <v>-320930</v>
      </c>
      <c r="C288" s="99">
        <v>3</v>
      </c>
      <c r="D288" s="99">
        <f t="shared" si="14"/>
        <v>5</v>
      </c>
      <c r="E288" s="99">
        <f t="shared" si="15"/>
        <v>0</v>
      </c>
      <c r="F288" s="99">
        <f t="shared" si="16"/>
        <v>-2000000</v>
      </c>
      <c r="G288" s="99"/>
    </row>
    <row r="289" spans="1:10">
      <c r="A289" s="99" t="s">
        <v>5007</v>
      </c>
      <c r="B289" s="113">
        <v>-400000</v>
      </c>
      <c r="C289" s="99">
        <v>1</v>
      </c>
      <c r="D289" s="99">
        <f t="shared" ref="D289:D313" si="17">D290+C289</f>
        <v>2</v>
      </c>
      <c r="E289" s="99">
        <f t="shared" ref="E289:E313" si="18">IF(B290&gt;0,1,0)</f>
        <v>0</v>
      </c>
      <c r="F289" s="99">
        <f t="shared" ref="F289:F313" si="19">B290*(D289-E289)</f>
        <v>-33000</v>
      </c>
      <c r="G289" s="99"/>
    </row>
    <row r="290" spans="1:10">
      <c r="A290" s="99" t="s">
        <v>5014</v>
      </c>
      <c r="B290" s="113">
        <v>-16500</v>
      </c>
      <c r="C290" s="99">
        <v>1</v>
      </c>
      <c r="D290" s="99">
        <f t="shared" si="17"/>
        <v>1</v>
      </c>
      <c r="E290" s="99">
        <f t="shared" si="18"/>
        <v>0</v>
      </c>
      <c r="F290" s="99">
        <f t="shared" si="19"/>
        <v>0</v>
      </c>
      <c r="G290" s="99"/>
    </row>
    <row r="291" spans="1:10">
      <c r="A291" s="99"/>
      <c r="B291" s="113"/>
      <c r="C291" s="99"/>
      <c r="D291" s="99">
        <f t="shared" si="17"/>
        <v>0</v>
      </c>
      <c r="E291" s="99">
        <f t="shared" si="18"/>
        <v>0</v>
      </c>
      <c r="F291" s="99">
        <f t="shared" si="19"/>
        <v>0</v>
      </c>
      <c r="G291" s="99"/>
      <c r="I291" t="s">
        <v>25</v>
      </c>
    </row>
    <row r="292" spans="1:10">
      <c r="A292" s="99"/>
      <c r="B292" s="113"/>
      <c r="C292" s="99"/>
      <c r="D292" s="99">
        <f t="shared" si="17"/>
        <v>0</v>
      </c>
      <c r="E292" s="99">
        <f t="shared" si="18"/>
        <v>0</v>
      </c>
      <c r="F292" s="99">
        <f t="shared" si="19"/>
        <v>0</v>
      </c>
      <c r="G292" s="99"/>
      <c r="J292" t="s">
        <v>25</v>
      </c>
    </row>
    <row r="293" spans="1:10">
      <c r="A293" s="99"/>
      <c r="B293" s="113"/>
      <c r="C293" s="99"/>
      <c r="D293" s="99">
        <f t="shared" si="17"/>
        <v>0</v>
      </c>
      <c r="E293" s="99">
        <f t="shared" si="18"/>
        <v>0</v>
      </c>
      <c r="F293" s="99">
        <f t="shared" si="19"/>
        <v>0</v>
      </c>
      <c r="G293" s="99"/>
    </row>
    <row r="294" spans="1:10">
      <c r="A294" s="99"/>
      <c r="B294" s="113"/>
      <c r="C294" s="99"/>
      <c r="D294" s="99">
        <f t="shared" si="17"/>
        <v>0</v>
      </c>
      <c r="E294" s="99">
        <f t="shared" si="18"/>
        <v>0</v>
      </c>
      <c r="F294" s="99">
        <f t="shared" si="19"/>
        <v>0</v>
      </c>
      <c r="G294" s="99"/>
    </row>
    <row r="295" spans="1:10">
      <c r="A295" s="99"/>
      <c r="B295" s="113"/>
      <c r="C295" s="99"/>
      <c r="D295" s="99">
        <f t="shared" si="17"/>
        <v>0</v>
      </c>
      <c r="E295" s="99">
        <f t="shared" si="18"/>
        <v>0</v>
      </c>
      <c r="F295" s="99">
        <f t="shared" si="19"/>
        <v>0</v>
      </c>
      <c r="G295" s="99"/>
      <c r="J295" t="s">
        <v>25</v>
      </c>
    </row>
    <row r="296" spans="1:10">
      <c r="A296" s="99"/>
      <c r="B296" s="113"/>
      <c r="C296" s="99"/>
      <c r="D296" s="99">
        <f t="shared" si="17"/>
        <v>0</v>
      </c>
      <c r="E296" s="99">
        <f t="shared" si="18"/>
        <v>0</v>
      </c>
      <c r="F296" s="99">
        <f t="shared" si="19"/>
        <v>0</v>
      </c>
      <c r="G296" s="99"/>
    </row>
    <row r="297" spans="1:10">
      <c r="A297" s="99"/>
      <c r="B297" s="113"/>
      <c r="C297" s="99"/>
      <c r="D297" s="99">
        <f t="shared" si="17"/>
        <v>0</v>
      </c>
      <c r="E297" s="99">
        <f t="shared" si="18"/>
        <v>0</v>
      </c>
      <c r="F297" s="99">
        <f t="shared" si="19"/>
        <v>0</v>
      </c>
      <c r="G297" s="99"/>
    </row>
    <row r="298" spans="1:10">
      <c r="A298" s="99"/>
      <c r="B298" s="113"/>
      <c r="C298" s="99"/>
      <c r="D298" s="99">
        <f t="shared" si="17"/>
        <v>0</v>
      </c>
      <c r="E298" s="99">
        <f t="shared" si="18"/>
        <v>0</v>
      </c>
      <c r="F298" s="99">
        <f t="shared" si="19"/>
        <v>0</v>
      </c>
      <c r="G298" s="99"/>
    </row>
    <row r="299" spans="1:10">
      <c r="A299" s="99"/>
      <c r="B299" s="113"/>
      <c r="C299" s="99"/>
      <c r="D299" s="99">
        <f t="shared" si="17"/>
        <v>0</v>
      </c>
      <c r="E299" s="99">
        <f t="shared" si="18"/>
        <v>0</v>
      </c>
      <c r="F299" s="99">
        <f t="shared" si="19"/>
        <v>0</v>
      </c>
      <c r="G299" s="99"/>
    </row>
    <row r="300" spans="1:10">
      <c r="A300" s="99"/>
      <c r="B300" s="113"/>
      <c r="C300" s="99"/>
      <c r="D300" s="99">
        <f t="shared" si="17"/>
        <v>0</v>
      </c>
      <c r="E300" s="99">
        <f t="shared" si="18"/>
        <v>0</v>
      </c>
      <c r="F300" s="99">
        <f t="shared" si="19"/>
        <v>0</v>
      </c>
      <c r="G300" s="99"/>
    </row>
    <row r="301" spans="1:10">
      <c r="A301" s="99"/>
      <c r="B301" s="113"/>
      <c r="C301" s="99"/>
      <c r="D301" s="99">
        <f t="shared" si="17"/>
        <v>0</v>
      </c>
      <c r="E301" s="99">
        <f t="shared" si="18"/>
        <v>0</v>
      </c>
      <c r="F301" s="99">
        <f t="shared" si="19"/>
        <v>0</v>
      </c>
      <c r="G301" s="99"/>
    </row>
    <row r="302" spans="1:10">
      <c r="A302" s="99"/>
      <c r="B302" s="113"/>
      <c r="C302" s="99"/>
      <c r="D302" s="99">
        <f t="shared" si="17"/>
        <v>0</v>
      </c>
      <c r="E302" s="99">
        <f t="shared" si="18"/>
        <v>0</v>
      </c>
      <c r="F302" s="99">
        <f t="shared" si="19"/>
        <v>0</v>
      </c>
      <c r="G302" s="99"/>
    </row>
    <row r="303" spans="1:10">
      <c r="A303" s="99"/>
      <c r="B303" s="113"/>
      <c r="C303" s="99"/>
      <c r="D303" s="99">
        <f t="shared" si="17"/>
        <v>0</v>
      </c>
      <c r="E303" s="99">
        <f t="shared" si="18"/>
        <v>0</v>
      </c>
      <c r="F303" s="99">
        <f t="shared" si="19"/>
        <v>0</v>
      </c>
      <c r="G303" s="99"/>
    </row>
    <row r="304" spans="1:10">
      <c r="A304" s="99"/>
      <c r="B304" s="113"/>
      <c r="C304" s="99"/>
      <c r="D304" s="99">
        <f t="shared" si="17"/>
        <v>0</v>
      </c>
      <c r="E304" s="99">
        <f t="shared" si="18"/>
        <v>0</v>
      </c>
      <c r="F304" s="99">
        <f t="shared" si="19"/>
        <v>0</v>
      </c>
      <c r="G304" s="99"/>
    </row>
    <row r="305" spans="1:10">
      <c r="A305" s="99"/>
      <c r="B305" s="113"/>
      <c r="C305" s="99"/>
      <c r="D305" s="99">
        <f t="shared" si="17"/>
        <v>0</v>
      </c>
      <c r="E305" s="99">
        <f t="shared" si="18"/>
        <v>0</v>
      </c>
      <c r="F305" s="99">
        <f t="shared" si="19"/>
        <v>0</v>
      </c>
      <c r="G305" s="99"/>
    </row>
    <row r="306" spans="1:10">
      <c r="A306" s="99"/>
      <c r="B306" s="113"/>
      <c r="C306" s="99"/>
      <c r="D306" s="99">
        <f t="shared" si="17"/>
        <v>0</v>
      </c>
      <c r="E306" s="99">
        <f t="shared" si="18"/>
        <v>0</v>
      </c>
      <c r="F306" s="99">
        <f t="shared" si="19"/>
        <v>0</v>
      </c>
      <c r="G306" s="99"/>
      <c r="J306" t="s">
        <v>25</v>
      </c>
    </row>
    <row r="307" spans="1:10">
      <c r="A307" s="99"/>
      <c r="B307" s="113"/>
      <c r="C307" s="99"/>
      <c r="D307" s="99">
        <f t="shared" si="17"/>
        <v>0</v>
      </c>
      <c r="E307" s="99">
        <f t="shared" si="18"/>
        <v>0</v>
      </c>
      <c r="F307" s="99">
        <f t="shared" si="19"/>
        <v>0</v>
      </c>
      <c r="G307" s="99"/>
    </row>
    <row r="308" spans="1:10">
      <c r="A308" s="99"/>
      <c r="B308" s="113"/>
      <c r="C308" s="99"/>
      <c r="D308" s="99">
        <f t="shared" si="17"/>
        <v>0</v>
      </c>
      <c r="E308" s="99">
        <f t="shared" si="18"/>
        <v>0</v>
      </c>
      <c r="F308" s="99">
        <f t="shared" si="19"/>
        <v>0</v>
      </c>
      <c r="G308" s="99"/>
    </row>
    <row r="309" spans="1:10">
      <c r="A309" s="99"/>
      <c r="B309" s="113"/>
      <c r="C309" s="99"/>
      <c r="D309" s="99">
        <f t="shared" si="17"/>
        <v>0</v>
      </c>
      <c r="E309" s="99">
        <f t="shared" si="18"/>
        <v>0</v>
      </c>
      <c r="F309" s="99">
        <f t="shared" si="19"/>
        <v>0</v>
      </c>
      <c r="G309" s="99"/>
    </row>
    <row r="310" spans="1:10">
      <c r="A310" s="99"/>
      <c r="B310" s="113"/>
      <c r="C310" s="99"/>
      <c r="D310" s="99">
        <f t="shared" si="17"/>
        <v>0</v>
      </c>
      <c r="E310" s="99">
        <f t="shared" si="18"/>
        <v>0</v>
      </c>
      <c r="F310" s="99">
        <f t="shared" si="19"/>
        <v>0</v>
      </c>
      <c r="G310" s="99"/>
    </row>
    <row r="311" spans="1:10">
      <c r="A311" s="99"/>
      <c r="B311" s="113"/>
      <c r="C311" s="99"/>
      <c r="D311" s="99">
        <f t="shared" si="17"/>
        <v>0</v>
      </c>
      <c r="E311" s="99">
        <f t="shared" si="18"/>
        <v>0</v>
      </c>
      <c r="F311" s="99">
        <f t="shared" si="19"/>
        <v>0</v>
      </c>
      <c r="G311" s="99"/>
    </row>
    <row r="312" spans="1:10">
      <c r="A312" s="99"/>
      <c r="B312" s="113"/>
      <c r="C312" s="99"/>
      <c r="D312" s="99">
        <f t="shared" si="17"/>
        <v>0</v>
      </c>
      <c r="E312" s="99">
        <f t="shared" si="18"/>
        <v>0</v>
      </c>
      <c r="F312" s="99">
        <f t="shared" si="19"/>
        <v>0</v>
      </c>
      <c r="G312" s="99"/>
    </row>
    <row r="313" spans="1:10">
      <c r="A313" s="11"/>
      <c r="B313" s="3">
        <v>0</v>
      </c>
      <c r="C313" s="11">
        <v>0</v>
      </c>
      <c r="D313" s="99">
        <f t="shared" si="17"/>
        <v>0</v>
      </c>
      <c r="E313" s="99">
        <f t="shared" si="18"/>
        <v>0</v>
      </c>
      <c r="F313" s="99">
        <f t="shared" si="19"/>
        <v>0</v>
      </c>
      <c r="G313" s="99"/>
    </row>
    <row r="314" spans="1:10">
      <c r="A314" s="11"/>
      <c r="B314" s="3"/>
      <c r="C314" s="11"/>
      <c r="D314" s="99"/>
      <c r="E314" s="99"/>
      <c r="F314" s="99"/>
      <c r="G314" s="11"/>
    </row>
    <row r="315" spans="1:10">
      <c r="A315" s="11"/>
      <c r="B315" s="29">
        <f>SUM(B2:B313)</f>
        <v>82304</v>
      </c>
      <c r="C315" s="11"/>
      <c r="D315" s="11"/>
      <c r="E315" s="11"/>
      <c r="F315" s="29">
        <f>SUM(F2:F313)</f>
        <v>19236685157</v>
      </c>
      <c r="G315" s="11"/>
    </row>
    <row r="316" spans="1:10">
      <c r="A316" s="11"/>
      <c r="B316" s="11" t="s">
        <v>6</v>
      </c>
      <c r="C316" s="11"/>
      <c r="D316" s="11"/>
      <c r="E316" s="11"/>
      <c r="F316" s="11" t="s">
        <v>284</v>
      </c>
      <c r="G316" s="11"/>
    </row>
    <row r="317" spans="1:10">
      <c r="A317" s="11"/>
      <c r="B317" s="11"/>
      <c r="C317" s="11"/>
      <c r="D317" s="11"/>
      <c r="E317" s="11"/>
      <c r="F317" s="11"/>
      <c r="G317" s="11"/>
    </row>
    <row r="318" spans="1:10">
      <c r="A318" s="11"/>
      <c r="B318" s="11"/>
      <c r="C318" s="11"/>
      <c r="D318" s="11"/>
      <c r="E318" s="11"/>
      <c r="F318" s="3">
        <f>F315/D2</f>
        <v>17894590.843720932</v>
      </c>
      <c r="G318" s="11"/>
    </row>
    <row r="319" spans="1:10">
      <c r="A319" s="11"/>
      <c r="B319" s="11"/>
      <c r="C319" s="11"/>
      <c r="D319" s="11"/>
      <c r="E319" s="11"/>
      <c r="F319" s="11" t="s">
        <v>286</v>
      </c>
      <c r="G319" s="11"/>
    </row>
    <row r="324" spans="2:5">
      <c r="D324" t="s">
        <v>25</v>
      </c>
    </row>
    <row r="325" spans="2:5">
      <c r="B325" s="7"/>
    </row>
    <row r="327" spans="2:5" ht="75">
      <c r="E327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M15" sqref="M15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4757</v>
      </c>
      <c r="L15">
        <v>451474</v>
      </c>
      <c r="M15" s="247" t="s">
        <v>4938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J21">
        <v>61940674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4573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4882</v>
      </c>
      <c r="B193" s="38">
        <v>-25000</v>
      </c>
      <c r="C193" s="11" t="s">
        <v>4889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5"/>
  <sheetViews>
    <sheetView tabSelected="1" topLeftCell="O204" zoomScaleNormal="100" workbookViewId="0">
      <selection activeCell="T222" sqref="T22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21.57031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4" t="s">
        <v>1077</v>
      </c>
      <c r="AR5" s="214" t="s">
        <v>267</v>
      </c>
      <c r="AS5" s="214" t="s">
        <v>180</v>
      </c>
      <c r="AT5" s="214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4">
        <v>1</v>
      </c>
      <c r="AR6" s="169">
        <v>5000000</v>
      </c>
      <c r="AS6" s="214" t="s">
        <v>4150</v>
      </c>
      <c r="AT6" s="214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4">
        <v>2</v>
      </c>
      <c r="AR7" s="169">
        <v>13000000</v>
      </c>
      <c r="AS7" s="214" t="s">
        <v>4157</v>
      </c>
      <c r="AT7" s="214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4">
        <v>3</v>
      </c>
      <c r="AR8" s="169">
        <v>-168093</v>
      </c>
      <c r="AS8" s="214" t="s">
        <v>4172</v>
      </c>
      <c r="AT8" s="214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4">
        <v>4</v>
      </c>
      <c r="AR9" s="169">
        <v>-2000000</v>
      </c>
      <c r="AS9" s="214" t="s">
        <v>4342</v>
      </c>
      <c r="AT9" s="214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4">
        <v>5</v>
      </c>
      <c r="AR10" s="169">
        <v>-3000000</v>
      </c>
      <c r="AS10" s="214" t="s">
        <v>4829</v>
      </c>
      <c r="AT10" s="73" t="s">
        <v>4832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4">
        <v>6</v>
      </c>
      <c r="AR11" s="169">
        <v>-1663925</v>
      </c>
      <c r="AS11" s="214" t="s">
        <v>4853</v>
      </c>
      <c r="AT11" s="73" t="s">
        <v>4854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4">
        <v>7</v>
      </c>
      <c r="AR12" s="169">
        <v>-2336075</v>
      </c>
      <c r="AS12" s="214" t="s">
        <v>4908</v>
      </c>
      <c r="AT12" s="73" t="s">
        <v>4909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4"/>
      <c r="AR13" s="169"/>
      <c r="AS13" s="214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4"/>
      <c r="AR14" s="169"/>
      <c r="AS14" s="214"/>
      <c r="AT14" s="214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4"/>
      <c r="AR15" s="169"/>
      <c r="AS15" s="214"/>
      <c r="AT15" s="214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ایلیا'!B315</f>
        <v>82304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4"/>
      <c r="AR16" s="169">
        <f>SUM(AR6:AR14)</f>
        <v>8831907</v>
      </c>
      <c r="AS16" s="214"/>
      <c r="AT16" s="236" t="s">
        <v>4910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4"/>
      <c r="AR17" s="214" t="s">
        <v>6</v>
      </c>
      <c r="AS17" s="214"/>
      <c r="AT17" s="214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4457</v>
      </c>
      <c r="N20" s="113">
        <v>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S77</f>
        <v>240</v>
      </c>
      <c r="T20" s="168" t="s">
        <v>4309</v>
      </c>
      <c r="U20" s="168">
        <v>192.1</v>
      </c>
      <c r="V20" s="168">
        <f>U20*(1+$N$79+$Q$15*S20/36500)</f>
        <v>229.61897205479454</v>
      </c>
      <c r="W20" s="32">
        <f t="shared" ref="W20:W33" si="6">V20*(1+$W$19/100)</f>
        <v>234.21135149589043</v>
      </c>
      <c r="X20" s="32">
        <f t="shared" ref="X20:X33" si="7">V20*(1+$X$19/100)</f>
        <v>238.80373093698634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4470</v>
      </c>
      <c r="L21" s="117">
        <f>-N32</f>
        <v>541638833.1109699</v>
      </c>
      <c r="M21" s="168" t="s">
        <v>4301</v>
      </c>
      <c r="N21" s="113">
        <f t="shared" ref="N21:N24" si="8">O21*P21</f>
        <v>248922951.19999999</v>
      </c>
      <c r="O21" s="99">
        <v>1256552</v>
      </c>
      <c r="P21" s="186">
        <f>P47</f>
        <v>198.1</v>
      </c>
      <c r="Q21" s="169">
        <v>595156</v>
      </c>
      <c r="R21" s="168" t="s">
        <v>4392</v>
      </c>
      <c r="S21" s="193">
        <f>S20-52</f>
        <v>188</v>
      </c>
      <c r="T21" s="168" t="s">
        <v>4395</v>
      </c>
      <c r="U21" s="168">
        <v>5808.5</v>
      </c>
      <c r="V21" s="168">
        <f>U21*(1+$N$79+$Q$15*S21/36500)</f>
        <v>6711.252295890411</v>
      </c>
      <c r="W21" s="32">
        <f t="shared" si="6"/>
        <v>6845.4773418082195</v>
      </c>
      <c r="X21" s="32">
        <f t="shared" si="7"/>
        <v>6979.7023877260281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353</v>
      </c>
      <c r="AM21" s="113">
        <f t="shared" ref="AM21:AM120" si="10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4473</v>
      </c>
      <c r="L22" s="117">
        <f>-'فروردین 98'!D63</f>
        <v>-7251124</v>
      </c>
      <c r="M22" s="214" t="s">
        <v>4409</v>
      </c>
      <c r="N22" s="113">
        <f t="shared" si="8"/>
        <v>112320314.7</v>
      </c>
      <c r="O22" s="99">
        <v>159297</v>
      </c>
      <c r="P22" s="186">
        <f>P46</f>
        <v>705.1</v>
      </c>
      <c r="Q22" s="169">
        <v>1484689</v>
      </c>
      <c r="R22" s="168" t="s">
        <v>4429</v>
      </c>
      <c r="S22" s="168">
        <f>S21-7</f>
        <v>181</v>
      </c>
      <c r="T22" s="19" t="s">
        <v>4432</v>
      </c>
      <c r="U22" s="168">
        <v>5474</v>
      </c>
      <c r="V22" s="168">
        <f>U22*(1+$N$79+$Q$15*S22/36500)</f>
        <v>6295.3699506849316</v>
      </c>
      <c r="W22" s="32">
        <f t="shared" si="6"/>
        <v>6421.2773496986301</v>
      </c>
      <c r="X22" s="32">
        <f t="shared" si="7"/>
        <v>6547.1847487123287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9"/>
        <v>352</v>
      </c>
      <c r="AM22" s="113">
        <f t="shared" si="10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4"/>
      <c r="L23" s="117"/>
      <c r="M23" s="214" t="s">
        <v>5044</v>
      </c>
      <c r="N23" s="113">
        <f t="shared" si="8"/>
        <v>60858</v>
      </c>
      <c r="O23" s="99">
        <v>138</v>
      </c>
      <c r="P23" s="186">
        <f>P45</f>
        <v>441</v>
      </c>
      <c r="Q23" s="169">
        <v>2197673</v>
      </c>
      <c r="R23" s="168" t="s">
        <v>4429</v>
      </c>
      <c r="S23" s="168">
        <f>S22</f>
        <v>181</v>
      </c>
      <c r="T23" s="19" t="s">
        <v>4433</v>
      </c>
      <c r="U23" s="168">
        <v>5349</v>
      </c>
      <c r="V23" s="168">
        <f>U23*(1+$N$79+$Q$15*S23/36500)</f>
        <v>6151.6137863013701</v>
      </c>
      <c r="W23" s="32">
        <f>V23*(1+$W$19/100)</f>
        <v>6274.6460620273974</v>
      </c>
      <c r="X23" s="32">
        <f t="shared" si="7"/>
        <v>6397.6783377534248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9"/>
        <v>351</v>
      </c>
      <c r="AM23" s="113">
        <f t="shared" si="10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L59</f>
        <v>492534786.1109699</v>
      </c>
      <c r="G24" s="95">
        <f t="shared" si="0"/>
        <v>-212228440.72903126</v>
      </c>
      <c r="H24" s="11"/>
      <c r="I24" s="96"/>
      <c r="J24" s="96"/>
      <c r="K24" s="168" t="s">
        <v>456</v>
      </c>
      <c r="L24" s="117">
        <v>500000</v>
      </c>
      <c r="M24" s="168" t="s">
        <v>4394</v>
      </c>
      <c r="N24" s="113">
        <f t="shared" si="8"/>
        <v>44189100</v>
      </c>
      <c r="O24" s="99">
        <v>9250</v>
      </c>
      <c r="P24" s="99">
        <f>P44</f>
        <v>4777.2</v>
      </c>
      <c r="Q24" s="169">
        <v>1353959</v>
      </c>
      <c r="R24" s="168" t="s">
        <v>4429</v>
      </c>
      <c r="S24" s="199">
        <f>S23</f>
        <v>181</v>
      </c>
      <c r="T24" s="19" t="s">
        <v>4475</v>
      </c>
      <c r="U24" s="168">
        <v>192.2</v>
      </c>
      <c r="V24" s="168">
        <f>U24*(1+$N$79+$Q$15*S24/36500)</f>
        <v>221.03947835616438</v>
      </c>
      <c r="W24" s="32">
        <f t="shared" si="6"/>
        <v>225.46026792328766</v>
      </c>
      <c r="X24" s="32">
        <f t="shared" si="7"/>
        <v>229.88105749041097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9"/>
        <v>350</v>
      </c>
      <c r="AM24" s="113">
        <f t="shared" si="10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8"/>
      <c r="L25" s="117"/>
      <c r="M25" s="168"/>
      <c r="N25" s="113"/>
      <c r="O25" s="69" t="s">
        <v>25</v>
      </c>
      <c r="P25" s="99"/>
      <c r="Q25" s="169">
        <v>1614398</v>
      </c>
      <c r="R25" s="168" t="s">
        <v>4437</v>
      </c>
      <c r="S25" s="168">
        <f>S24-3</f>
        <v>178</v>
      </c>
      <c r="T25" s="19" t="s">
        <v>4508</v>
      </c>
      <c r="U25" s="168">
        <v>184.6</v>
      </c>
      <c r="V25" s="168">
        <f>U25*(1+$N$79+$Q$15*S25/36500)</f>
        <v>211.8742706849315</v>
      </c>
      <c r="W25" s="32">
        <f t="shared" si="6"/>
        <v>216.11175609863014</v>
      </c>
      <c r="X25" s="32">
        <f t="shared" si="7"/>
        <v>220.34924151232877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9"/>
        <v>338</v>
      </c>
      <c r="AM25" s="113">
        <f t="shared" si="10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8"/>
      <c r="L26" s="117"/>
      <c r="M26" s="190" t="s">
        <v>4459</v>
      </c>
      <c r="N26" s="113">
        <v>287</v>
      </c>
      <c r="O26" s="69" t="s">
        <v>25</v>
      </c>
      <c r="P26" s="99" t="s">
        <v>25</v>
      </c>
      <c r="Q26" s="169">
        <v>133576</v>
      </c>
      <c r="R26" s="168" t="s">
        <v>4515</v>
      </c>
      <c r="S26" s="198">
        <f>S25-22</f>
        <v>156</v>
      </c>
      <c r="T26" s="168" t="s">
        <v>4516</v>
      </c>
      <c r="U26" s="168">
        <v>166.2</v>
      </c>
      <c r="V26" s="168">
        <f>U26*(1+$N$79+$Q$15*S26/36500)</f>
        <v>187.9507989041096</v>
      </c>
      <c r="W26" s="32">
        <f t="shared" si="6"/>
        <v>191.70981488219181</v>
      </c>
      <c r="X26" s="32">
        <f t="shared" si="7"/>
        <v>195.46883086027398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9"/>
        <v>332</v>
      </c>
      <c r="AM26" s="113">
        <f t="shared" si="10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8"/>
      <c r="L27" s="117"/>
      <c r="M27" s="190" t="s">
        <v>4394</v>
      </c>
      <c r="N27" s="113">
        <f t="shared" ref="N27:N29" si="12">O27*P27</f>
        <v>5364795.5999999996</v>
      </c>
      <c r="O27" s="69">
        <v>1123</v>
      </c>
      <c r="P27" s="99">
        <f>P44</f>
        <v>4777.2</v>
      </c>
      <c r="Q27" s="169">
        <v>220803</v>
      </c>
      <c r="R27" s="168" t="s">
        <v>4231</v>
      </c>
      <c r="S27" s="198">
        <f>S26-1</f>
        <v>155</v>
      </c>
      <c r="T27" s="168" t="s">
        <v>4522</v>
      </c>
      <c r="U27" s="168">
        <v>166</v>
      </c>
      <c r="V27" s="168">
        <f>U27*(1+$N$79+$Q$15*S27/36500)</f>
        <v>187.59728219178083</v>
      </c>
      <c r="W27" s="32">
        <f t="shared" si="6"/>
        <v>191.34922783561646</v>
      </c>
      <c r="X27" s="32">
        <f t="shared" si="7"/>
        <v>195.10117347945209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9"/>
        <v>331</v>
      </c>
      <c r="AM27" s="113">
        <f t="shared" si="10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214"/>
      <c r="L28" s="117"/>
      <c r="M28" s="190" t="s">
        <v>5044</v>
      </c>
      <c r="N28" s="113">
        <f t="shared" si="12"/>
        <v>56448</v>
      </c>
      <c r="O28" s="69">
        <v>128</v>
      </c>
      <c r="P28" s="99">
        <f>P45</f>
        <v>441</v>
      </c>
      <c r="Q28" s="169">
        <v>1023940</v>
      </c>
      <c r="R28" s="168" t="s">
        <v>4523</v>
      </c>
      <c r="S28" s="198">
        <f>S27-2</f>
        <v>153</v>
      </c>
      <c r="T28" s="168" t="s">
        <v>4529</v>
      </c>
      <c r="U28" s="168">
        <v>160.19999999999999</v>
      </c>
      <c r="V28" s="168">
        <f>U28*(1+$N$79+$Q$15*S28/36500)</f>
        <v>180.79689205479451</v>
      </c>
      <c r="W28" s="32">
        <f t="shared" si="6"/>
        <v>184.41282989589041</v>
      </c>
      <c r="X28" s="32">
        <f t="shared" si="7"/>
        <v>188.02876773698631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9"/>
        <v>330</v>
      </c>
      <c r="AM28" s="113">
        <f t="shared" si="10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8"/>
      <c r="L29" s="117"/>
      <c r="M29" s="190" t="s">
        <v>4438</v>
      </c>
      <c r="N29" s="113">
        <f t="shared" si="12"/>
        <v>32147271.800000001</v>
      </c>
      <c r="O29" s="69">
        <v>162278</v>
      </c>
      <c r="P29" s="99">
        <f>P47</f>
        <v>198.1</v>
      </c>
      <c r="Q29" s="169">
        <v>168846</v>
      </c>
      <c r="R29" s="168" t="s">
        <v>3691</v>
      </c>
      <c r="S29" s="198">
        <f>S28-28</f>
        <v>125</v>
      </c>
      <c r="T29" s="168" t="s">
        <v>4620</v>
      </c>
      <c r="U29" s="168">
        <v>172.2</v>
      </c>
      <c r="V29" s="168">
        <f>U29*(1+$N$79+$Q$15*S29/36500)</f>
        <v>190.64096876712327</v>
      </c>
      <c r="W29" s="32">
        <f t="shared" si="6"/>
        <v>194.45378814246573</v>
      </c>
      <c r="X29" s="32">
        <f t="shared" si="7"/>
        <v>198.26660751780821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9"/>
        <v>325</v>
      </c>
      <c r="AM29" s="113">
        <f t="shared" si="10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8" t="s">
        <v>25</v>
      </c>
      <c r="L30" s="117"/>
      <c r="M30" s="168"/>
      <c r="N30" s="113"/>
      <c r="P30" t="s">
        <v>25</v>
      </c>
      <c r="Q30" s="169">
        <v>250962</v>
      </c>
      <c r="R30" s="168" t="s">
        <v>4660</v>
      </c>
      <c r="S30" s="198">
        <f>S29-10</f>
        <v>115</v>
      </c>
      <c r="T30" s="168" t="s">
        <v>4661</v>
      </c>
      <c r="U30" s="168">
        <v>5315.5</v>
      </c>
      <c r="V30" s="168">
        <f>U30*(1+$N$79+$Q$15*S30/36500)</f>
        <v>5843.9626410958908</v>
      </c>
      <c r="W30" s="32">
        <f t="shared" si="6"/>
        <v>5960.8418939178091</v>
      </c>
      <c r="X30" s="32">
        <f t="shared" si="7"/>
        <v>6077.7211467397265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9"/>
        <v>324</v>
      </c>
      <c r="AM30" s="113">
        <f t="shared" si="10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8" t="s">
        <v>25</v>
      </c>
      <c r="L31" s="117"/>
      <c r="M31" s="168" t="s">
        <v>756</v>
      </c>
      <c r="N31" s="113">
        <v>3000000</v>
      </c>
      <c r="O31" t="s">
        <v>25</v>
      </c>
      <c r="P31" t="s">
        <v>25</v>
      </c>
      <c r="Q31" s="169">
        <v>350718</v>
      </c>
      <c r="R31" s="214" t="s">
        <v>4699</v>
      </c>
      <c r="S31" s="198">
        <f>S30-7</f>
        <v>108</v>
      </c>
      <c r="T31" s="214" t="s">
        <v>4700</v>
      </c>
      <c r="U31" s="214">
        <v>502.3</v>
      </c>
      <c r="V31" s="214">
        <f>U31*(1+$N$79+$Q$15*S31/36500)</f>
        <v>549.54097095890427</v>
      </c>
      <c r="W31" s="32">
        <f t="shared" si="6"/>
        <v>560.53179037808241</v>
      </c>
      <c r="X31" s="32">
        <f t="shared" si="7"/>
        <v>571.52260979726043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0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8" t="s">
        <v>918</v>
      </c>
      <c r="L32" s="117">
        <v>4800000</v>
      </c>
      <c r="M32" s="168" t="s">
        <v>4149</v>
      </c>
      <c r="N32" s="113">
        <f>-S137</f>
        <v>-541638833.1109699</v>
      </c>
      <c r="O32" s="96" t="s">
        <v>25</v>
      </c>
      <c r="P32" s="96" t="s">
        <v>25</v>
      </c>
      <c r="Q32" s="169">
        <v>17953742</v>
      </c>
      <c r="R32" s="214" t="s">
        <v>3684</v>
      </c>
      <c r="S32" s="198">
        <f>S31-15</f>
        <v>93</v>
      </c>
      <c r="T32" s="214" t="s">
        <v>4739</v>
      </c>
      <c r="U32" s="214">
        <v>486.4</v>
      </c>
      <c r="V32" s="214">
        <f>U32*(1+$N$79+$Q$15*S32/36500)</f>
        <v>526.54865534246585</v>
      </c>
      <c r="W32" s="32">
        <f t="shared" si="6"/>
        <v>537.07962844931512</v>
      </c>
      <c r="X32" s="32">
        <f t="shared" si="7"/>
        <v>547.61060155616451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9"/>
        <v>318</v>
      </c>
      <c r="AM32" s="113">
        <f t="shared" si="10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8"/>
      <c r="L33" s="117"/>
      <c r="M33" s="168" t="s">
        <v>753</v>
      </c>
      <c r="N33" s="113">
        <v>500000</v>
      </c>
      <c r="O33" s="96" t="s">
        <v>25</v>
      </c>
      <c r="P33" s="122" t="s">
        <v>25</v>
      </c>
      <c r="Q33" s="169">
        <v>9566181</v>
      </c>
      <c r="R33" s="214" t="s">
        <v>4740</v>
      </c>
      <c r="S33" s="198">
        <f>S32-1</f>
        <v>92</v>
      </c>
      <c r="T33" s="214" t="s">
        <v>4741</v>
      </c>
      <c r="U33" s="214">
        <v>476.1</v>
      </c>
      <c r="V33" s="214">
        <f>U33*(1+$N$79+$Q$15*S33/36500)</f>
        <v>515.0332405479453</v>
      </c>
      <c r="W33" s="32">
        <f t="shared" si="6"/>
        <v>525.33390535890419</v>
      </c>
      <c r="X33" s="32">
        <f t="shared" si="7"/>
        <v>535.63457016986308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9"/>
        <v>302</v>
      </c>
      <c r="AM33" s="113">
        <f t="shared" si="10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8" t="s">
        <v>1086</v>
      </c>
      <c r="L34" s="117">
        <f>'خرید و فروش سکه فیزیکی'!M48*10*P48</f>
        <v>0</v>
      </c>
      <c r="M34" s="168" t="s">
        <v>760</v>
      </c>
      <c r="N34" s="113">
        <v>1200000</v>
      </c>
      <c r="O34" t="s">
        <v>25</v>
      </c>
      <c r="P34" t="s">
        <v>25</v>
      </c>
      <c r="Q34" s="169">
        <v>1563192</v>
      </c>
      <c r="R34" s="214" t="s">
        <v>4740</v>
      </c>
      <c r="S34" s="198">
        <f>S33</f>
        <v>92</v>
      </c>
      <c r="T34" s="214" t="s">
        <v>4742</v>
      </c>
      <c r="U34" s="214">
        <v>168.8</v>
      </c>
      <c r="V34" s="214">
        <f>U34*(1+$N$79+$Q$15*S34/36500)</f>
        <v>182.6036778082192</v>
      </c>
      <c r="W34" s="32">
        <f t="shared" ref="W34:W49" si="13">V34*(1+$W$19/100)</f>
        <v>186.2557513643836</v>
      </c>
      <c r="X34" s="32">
        <f t="shared" ref="X34:X49" si="14">V34*(1+$X$19/100)</f>
        <v>189.90782492054797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9"/>
        <v>302</v>
      </c>
      <c r="AM34" s="113">
        <f t="shared" si="10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8" t="s">
        <v>4788</v>
      </c>
      <c r="L35" s="117">
        <v>-47500000</v>
      </c>
      <c r="M35" s="73"/>
      <c r="N35" s="113"/>
      <c r="O35" s="96" t="s">
        <v>25</v>
      </c>
      <c r="P35" s="96" t="s">
        <v>25</v>
      </c>
      <c r="Q35" s="169">
        <v>15499033</v>
      </c>
      <c r="R35" s="214" t="s">
        <v>4758</v>
      </c>
      <c r="S35" s="198">
        <f>S34-6</f>
        <v>86</v>
      </c>
      <c r="T35" s="214" t="s">
        <v>4762</v>
      </c>
      <c r="U35" s="214">
        <v>525.1</v>
      </c>
      <c r="V35" s="214">
        <f>U35*(1+$N$79+$Q$15*S35/36500)</f>
        <v>565.62333369863018</v>
      </c>
      <c r="W35" s="32">
        <f t="shared" si="13"/>
        <v>576.93580037260278</v>
      </c>
      <c r="X35" s="32">
        <f t="shared" si="14"/>
        <v>588.24826704657539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9"/>
        <v>290</v>
      </c>
      <c r="AM35" s="113">
        <f t="shared" si="10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8"/>
      <c r="L36" s="117"/>
      <c r="M36" s="168" t="s">
        <v>1086</v>
      </c>
      <c r="N36" s="113">
        <f>('خرید و فروش سکه فیزیکی'!M47+3)*10*P48</f>
        <v>14700000</v>
      </c>
      <c r="O36" s="96"/>
      <c r="P36" s="96" t="s">
        <v>25</v>
      </c>
      <c r="Q36" s="169">
        <v>30673673</v>
      </c>
      <c r="R36" s="214" t="s">
        <v>4766</v>
      </c>
      <c r="S36" s="198">
        <f>S35-1</f>
        <v>85</v>
      </c>
      <c r="T36" s="214" t="s">
        <v>4771</v>
      </c>
      <c r="U36" s="214">
        <v>529.79999999999995</v>
      </c>
      <c r="V36" s="214">
        <f>U36*(1+$N$79+$Q$15*S36/36500)</f>
        <v>570.2796230136986</v>
      </c>
      <c r="W36" s="32">
        <f t="shared" si="13"/>
        <v>581.68521547397256</v>
      </c>
      <c r="X36" s="32">
        <f t="shared" si="14"/>
        <v>593.09080793424653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9"/>
        <v>288</v>
      </c>
      <c r="AM36" s="113">
        <f t="shared" si="10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 ht="16.5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8"/>
      <c r="L37" s="117"/>
      <c r="M37" s="168" t="s">
        <v>4787</v>
      </c>
      <c r="N37" s="113">
        <v>-18000000</v>
      </c>
      <c r="O37" s="245" t="s">
        <v>25</v>
      </c>
      <c r="P37" s="114"/>
      <c r="Q37" s="169">
        <v>5420397</v>
      </c>
      <c r="R37" s="214" t="s">
        <v>4766</v>
      </c>
      <c r="S37" s="198">
        <f>S36</f>
        <v>85</v>
      </c>
      <c r="T37" s="214" t="s">
        <v>4772</v>
      </c>
      <c r="U37" s="214">
        <v>5395.9</v>
      </c>
      <c r="V37" s="214">
        <f>U37*(1+$N$79+$Q$15*S37/36500)</f>
        <v>5808.1763265753416</v>
      </c>
      <c r="W37" s="32">
        <f t="shared" si="13"/>
        <v>5924.3398531068488</v>
      </c>
      <c r="X37" s="32">
        <f t="shared" si="14"/>
        <v>6040.5033796383559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9"/>
        <v>288</v>
      </c>
      <c r="AM37" s="113">
        <f t="shared" si="10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8"/>
      <c r="L38" s="117"/>
      <c r="M38" s="168" t="s">
        <v>4789</v>
      </c>
      <c r="N38" s="113">
        <v>-47000000</v>
      </c>
      <c r="O38" s="96"/>
      <c r="P38" s="96" t="s">
        <v>25</v>
      </c>
      <c r="Q38" s="169">
        <v>5809833</v>
      </c>
      <c r="R38" s="214" t="s">
        <v>4874</v>
      </c>
      <c r="S38" s="198">
        <f>S37-21</f>
        <v>64</v>
      </c>
      <c r="T38" s="214" t="s">
        <v>4878</v>
      </c>
      <c r="U38" s="214">
        <v>587.29999999999995</v>
      </c>
      <c r="V38" s="214">
        <f>U38*(1+$N$79+$Q$15*S38/36500)</f>
        <v>622.7117764383562</v>
      </c>
      <c r="W38" s="32">
        <f t="shared" si="13"/>
        <v>635.16601196712338</v>
      </c>
      <c r="X38" s="32">
        <f t="shared" si="14"/>
        <v>647.62024749589045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9"/>
        <v>287</v>
      </c>
      <c r="AM38" s="113">
        <f t="shared" si="10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/>
      <c r="L39" s="117"/>
      <c r="M39" s="168"/>
      <c r="N39" s="113"/>
      <c r="O39" s="96"/>
      <c r="P39" s="96" t="s">
        <v>25</v>
      </c>
      <c r="Q39" s="169">
        <v>164707</v>
      </c>
      <c r="R39" s="214" t="s">
        <v>4931</v>
      </c>
      <c r="S39" s="198">
        <f>S38-28</f>
        <v>36</v>
      </c>
      <c r="T39" s="214" t="s">
        <v>4932</v>
      </c>
      <c r="U39" s="214">
        <v>633</v>
      </c>
      <c r="V39" s="214">
        <f>U39*(1+$N$79+$Q$15*S39/36500)</f>
        <v>657.57080547945213</v>
      </c>
      <c r="W39" s="32">
        <f t="shared" si="13"/>
        <v>670.72222158904117</v>
      </c>
      <c r="X39" s="32">
        <f t="shared" si="14"/>
        <v>683.8736376986302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9"/>
        <v>283</v>
      </c>
      <c r="AM39" s="113">
        <f t="shared" si="10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5024</v>
      </c>
      <c r="L40" s="117">
        <v>-800000</v>
      </c>
      <c r="M40" s="168" t="s">
        <v>4458</v>
      </c>
      <c r="N40" s="113">
        <v>142</v>
      </c>
      <c r="O40">
        <f>O47+658</f>
        <v>2339918</v>
      </c>
      <c r="P40" t="s">
        <v>25</v>
      </c>
      <c r="Q40" s="169">
        <v>1204691</v>
      </c>
      <c r="R40" s="214" t="s">
        <v>4996</v>
      </c>
      <c r="S40" s="198">
        <f>S39-20</f>
        <v>16</v>
      </c>
      <c r="T40" s="214" t="s">
        <v>4997</v>
      </c>
      <c r="U40" s="214">
        <v>218.5</v>
      </c>
      <c r="V40" s="214">
        <f>U40*(1+$N$79+$Q$15*S40/36500)</f>
        <v>223.62906301369864</v>
      </c>
      <c r="W40" s="32">
        <f t="shared" si="13"/>
        <v>228.10164427397262</v>
      </c>
      <c r="X40" s="32">
        <f t="shared" si="14"/>
        <v>232.57422553424661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9"/>
        <v>280</v>
      </c>
      <c r="AM40" s="113">
        <f t="shared" si="10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/>
      <c r="L41" s="117"/>
      <c r="M41" s="168"/>
      <c r="N41" s="113"/>
      <c r="O41" s="99"/>
      <c r="P41" s="99"/>
      <c r="Q41" s="169">
        <v>15011877</v>
      </c>
      <c r="R41" s="214" t="s">
        <v>5000</v>
      </c>
      <c r="S41" s="198">
        <f>S40-3</f>
        <v>13</v>
      </c>
      <c r="T41" s="214" t="s">
        <v>5005</v>
      </c>
      <c r="U41" s="214">
        <v>197.1</v>
      </c>
      <c r="V41" s="214">
        <f>U41*(1+$N$79+$Q$15*S41/36500)</f>
        <v>201.27312000000001</v>
      </c>
      <c r="W41" s="32">
        <f t="shared" si="13"/>
        <v>205.29858240000002</v>
      </c>
      <c r="X41" s="32">
        <f t="shared" si="14"/>
        <v>209.32404480000002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9"/>
        <v>276</v>
      </c>
      <c r="AM41" s="113">
        <f t="shared" si="10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99"/>
      <c r="L42" s="117"/>
      <c r="M42" s="21" t="s">
        <v>4582</v>
      </c>
      <c r="N42" s="117">
        <f t="shared" ref="N42:N48" si="15">O42*P42</f>
        <v>865800</v>
      </c>
      <c r="O42" s="69">
        <v>2000</v>
      </c>
      <c r="P42" s="69">
        <v>432.9</v>
      </c>
      <c r="Q42" s="169">
        <v>35272425</v>
      </c>
      <c r="R42" s="214" t="s">
        <v>5017</v>
      </c>
      <c r="S42" s="198">
        <f>S41-5</f>
        <v>8</v>
      </c>
      <c r="T42" s="214" t="s">
        <v>5020</v>
      </c>
      <c r="U42" s="214">
        <v>4730.8999999999996</v>
      </c>
      <c r="V42" s="214">
        <f>U42*(1+$N$79+$Q$15*S42/36500)</f>
        <v>4812.9195484931506</v>
      </c>
      <c r="W42" s="32">
        <f t="shared" si="13"/>
        <v>4909.1779394630139</v>
      </c>
      <c r="X42" s="32">
        <f t="shared" si="14"/>
        <v>5005.4363304328772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9"/>
        <v>275</v>
      </c>
      <c r="AM42" s="113">
        <f t="shared" si="10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4568</v>
      </c>
      <c r="N43" s="117">
        <f t="shared" si="15"/>
        <v>63210</v>
      </c>
      <c r="O43" s="69">
        <v>50</v>
      </c>
      <c r="P43" s="69">
        <v>1264.2</v>
      </c>
      <c r="Q43" s="169">
        <v>3098904</v>
      </c>
      <c r="R43" s="214" t="s">
        <v>5018</v>
      </c>
      <c r="S43" s="198">
        <f>S42</f>
        <v>8</v>
      </c>
      <c r="T43" s="214" t="s">
        <v>5021</v>
      </c>
      <c r="U43" s="214">
        <v>671.9</v>
      </c>
      <c r="V43" s="214">
        <f>U43*(1+$N$79+$Q$15*S43/36500)</f>
        <v>683.54872109589041</v>
      </c>
      <c r="W43" s="32">
        <f t="shared" si="13"/>
        <v>697.21969551780819</v>
      </c>
      <c r="X43" s="32">
        <f t="shared" si="14"/>
        <v>710.89066993972608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9"/>
        <v>275</v>
      </c>
      <c r="AM43" s="113">
        <f t="shared" si="10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 t="s">
        <v>25</v>
      </c>
      <c r="L44" s="117"/>
      <c r="M44" s="19" t="s">
        <v>4394</v>
      </c>
      <c r="N44" s="113">
        <f t="shared" si="15"/>
        <v>158784573.59999999</v>
      </c>
      <c r="O44" s="69">
        <v>33238</v>
      </c>
      <c r="P44" s="69">
        <v>4777.2</v>
      </c>
      <c r="Q44" s="169">
        <v>12803120</v>
      </c>
      <c r="R44" s="214" t="s">
        <v>5019</v>
      </c>
      <c r="S44" s="198">
        <f>S43</f>
        <v>8</v>
      </c>
      <c r="T44" s="214" t="s">
        <v>5022</v>
      </c>
      <c r="U44" s="214">
        <v>194.4</v>
      </c>
      <c r="V44" s="214">
        <f>U44*(1+$N$79+$Q$15*S44/36500)</f>
        <v>197.77031013698632</v>
      </c>
      <c r="W44" s="32">
        <f t="shared" si="13"/>
        <v>201.72571633972606</v>
      </c>
      <c r="X44" s="32">
        <f t="shared" si="14"/>
        <v>205.68112254246577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9"/>
        <v>274</v>
      </c>
      <c r="AM44" s="113">
        <f t="shared" si="10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5044</v>
      </c>
      <c r="N45" s="113">
        <f t="shared" si="15"/>
        <v>60858</v>
      </c>
      <c r="O45" s="69">
        <v>138</v>
      </c>
      <c r="P45" s="69">
        <v>441</v>
      </c>
      <c r="Q45" s="169">
        <v>100562</v>
      </c>
      <c r="R45" s="214" t="s">
        <v>5029</v>
      </c>
      <c r="S45" s="198">
        <f>S44-6</f>
        <v>2</v>
      </c>
      <c r="T45" s="214" t="s">
        <v>5030</v>
      </c>
      <c r="U45" s="214">
        <v>190.3</v>
      </c>
      <c r="V45" s="214">
        <f>U45*(1+$N$79+$Q$15*S45/36500)</f>
        <v>192.7233271232877</v>
      </c>
      <c r="W45" s="32">
        <f t="shared" si="13"/>
        <v>196.57779366575346</v>
      </c>
      <c r="X45" s="32">
        <f t="shared" si="14"/>
        <v>200.43226020821922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9"/>
        <v>273</v>
      </c>
      <c r="AM45" s="113">
        <f t="shared" si="10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19" t="s">
        <v>4409</v>
      </c>
      <c r="N46" s="117">
        <f t="shared" si="15"/>
        <v>75329358.5</v>
      </c>
      <c r="O46" s="69">
        <v>106835</v>
      </c>
      <c r="P46" s="69">
        <v>705.1</v>
      </c>
      <c r="Q46" s="169">
        <v>201504198</v>
      </c>
      <c r="R46" s="214" t="s">
        <v>5033</v>
      </c>
      <c r="S46" s="198">
        <f>S45-2</f>
        <v>0</v>
      </c>
      <c r="T46" s="214" t="s">
        <v>5037</v>
      </c>
      <c r="U46" s="214">
        <v>195.5</v>
      </c>
      <c r="V46" s="214">
        <f>U46*(1+$N$79+$Q$15*S46/36500)</f>
        <v>197.68960000000001</v>
      </c>
      <c r="W46" s="32">
        <f t="shared" si="13"/>
        <v>201.64339200000001</v>
      </c>
      <c r="X46" s="32">
        <f t="shared" si="14"/>
        <v>205.59718400000003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9"/>
        <v>266</v>
      </c>
      <c r="AM46" s="113">
        <f t="shared" si="10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56"/>
      <c r="L47" s="117"/>
      <c r="M47" s="19" t="s">
        <v>4179</v>
      </c>
      <c r="N47" s="113">
        <f t="shared" si="15"/>
        <v>463407406</v>
      </c>
      <c r="O47" s="99">
        <v>2339260</v>
      </c>
      <c r="P47" s="99">
        <v>198.1</v>
      </c>
      <c r="Q47" s="169">
        <v>58222</v>
      </c>
      <c r="R47" s="214" t="s">
        <v>5035</v>
      </c>
      <c r="S47" s="198">
        <f>S46-1</f>
        <v>-1</v>
      </c>
      <c r="T47" s="214" t="s">
        <v>5045</v>
      </c>
      <c r="U47" s="214">
        <v>420</v>
      </c>
      <c r="V47" s="214">
        <f>U47*(1+$N$79+$Q$15*S47/36500)</f>
        <v>424.38180821917814</v>
      </c>
      <c r="W47" s="32">
        <f t="shared" si="13"/>
        <v>432.8694443835617</v>
      </c>
      <c r="X47" s="32">
        <f t="shared" si="14"/>
        <v>441.35708054794526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9"/>
        <v>260</v>
      </c>
      <c r="AM47" s="113">
        <f t="shared" si="10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21" t="s">
        <v>1086</v>
      </c>
      <c r="N48" s="117">
        <f t="shared" si="15"/>
        <v>0</v>
      </c>
      <c r="O48" s="69">
        <v>0</v>
      </c>
      <c r="P48" s="69">
        <v>490000</v>
      </c>
      <c r="Q48" s="169">
        <v>113410</v>
      </c>
      <c r="R48" s="214" t="s">
        <v>5043</v>
      </c>
      <c r="S48" s="198">
        <f>S47-1</f>
        <v>-2</v>
      </c>
      <c r="T48" s="214" t="s">
        <v>5046</v>
      </c>
      <c r="U48" s="214">
        <v>197.7</v>
      </c>
      <c r="V48" s="214">
        <f>U48*(1+$N$79+$Q$15*S48/36500)</f>
        <v>199.61091945205479</v>
      </c>
      <c r="W48" s="32">
        <f t="shared" si="13"/>
        <v>203.6031378410959</v>
      </c>
      <c r="X48" s="32">
        <f t="shared" si="14"/>
        <v>207.59535623013699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9"/>
        <v>259</v>
      </c>
      <c r="AM48" s="113">
        <f t="shared" si="10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73"/>
      <c r="N49" s="117"/>
      <c r="O49" s="122"/>
      <c r="P49" s="122"/>
      <c r="Q49" s="169"/>
      <c r="R49" s="168"/>
      <c r="S49" s="168"/>
      <c r="T49" s="168"/>
      <c r="U49" s="168"/>
      <c r="V49" s="214">
        <f>U49*(1+$N$79+$Q$15*S49/36500)</f>
        <v>0</v>
      </c>
      <c r="W49" s="32">
        <f t="shared" si="13"/>
        <v>0</v>
      </c>
      <c r="X49" s="32">
        <f t="shared" si="14"/>
        <v>0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0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/>
      <c r="L50" s="117"/>
      <c r="M50" s="168" t="s">
        <v>1152</v>
      </c>
      <c r="N50" s="117">
        <v>14908</v>
      </c>
      <c r="O50" s="96"/>
      <c r="P50" t="s">
        <v>25</v>
      </c>
      <c r="Q50" s="169">
        <f>SUM(N21:N24)-SUM(Q20:Q49)</f>
        <v>31011349.899999976</v>
      </c>
      <c r="R50" s="168"/>
      <c r="S50" s="168" t="s">
        <v>25</v>
      </c>
      <c r="T50" s="168"/>
      <c r="U50" s="168"/>
      <c r="V50" s="168"/>
      <c r="W50" s="32"/>
      <c r="X50" s="32"/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9"/>
        <v>256</v>
      </c>
      <c r="AM50" s="113">
        <f t="shared" si="10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99"/>
      <c r="M51" s="168" t="s">
        <v>1153</v>
      </c>
      <c r="N51" s="117">
        <v>5282</v>
      </c>
      <c r="O51" s="96"/>
      <c r="P51" t="s">
        <v>25</v>
      </c>
      <c r="R51" s="115"/>
      <c r="S51" s="115" t="s">
        <v>25</v>
      </c>
      <c r="T51" s="115"/>
      <c r="U51" s="115" t="s">
        <v>25</v>
      </c>
      <c r="V51" s="115"/>
      <c r="W51" s="195"/>
      <c r="X51" s="195"/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9"/>
        <v>254</v>
      </c>
      <c r="AM51" s="113">
        <f t="shared" si="10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168"/>
      <c r="L52" s="117"/>
      <c r="M52" s="168"/>
      <c r="N52" s="113"/>
      <c r="O52" s="115"/>
      <c r="P52" s="115"/>
      <c r="Q52" s="96"/>
      <c r="R52" s="115"/>
      <c r="S52" s="115"/>
      <c r="T52" s="115" t="s">
        <v>25</v>
      </c>
      <c r="U52" s="115" t="s">
        <v>25</v>
      </c>
      <c r="V52" s="115"/>
      <c r="W52" s="195"/>
      <c r="X52" s="195" t="s">
        <v>25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240</v>
      </c>
      <c r="AM52" s="113">
        <f t="shared" si="10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168" t="s">
        <v>25</v>
      </c>
      <c r="L53" s="117"/>
      <c r="M53" s="168" t="s">
        <v>4180</v>
      </c>
      <c r="N53" s="113">
        <f>-O53*P53</f>
        <v>-10636781.4</v>
      </c>
      <c r="O53" s="99">
        <v>53694</v>
      </c>
      <c r="P53" s="99">
        <f>P47</f>
        <v>198.1</v>
      </c>
      <c r="Q53" s="168" t="s">
        <v>657</v>
      </c>
      <c r="R53" s="168"/>
      <c r="S53" s="168"/>
      <c r="T53" s="168"/>
      <c r="U53" s="168"/>
      <c r="V53" s="168"/>
      <c r="W53" s="32"/>
      <c r="X53" s="32"/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9"/>
        <v>239</v>
      </c>
      <c r="AM53" s="113">
        <f t="shared" si="10"/>
        <v>1338400000</v>
      </c>
      <c r="AN53" s="99"/>
    </row>
    <row r="54" spans="1:45" ht="3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168"/>
      <c r="L54" s="117"/>
      <c r="M54" s="168"/>
      <c r="N54" s="113"/>
      <c r="Q54" s="168" t="s">
        <v>267</v>
      </c>
      <c r="R54" s="168" t="s">
        <v>180</v>
      </c>
      <c r="S54" s="168" t="s">
        <v>183</v>
      </c>
      <c r="T54" s="168" t="s">
        <v>8</v>
      </c>
      <c r="U54" s="168" t="s">
        <v>4363</v>
      </c>
      <c r="V54" s="73" t="s">
        <v>4365</v>
      </c>
      <c r="W54" s="32">
        <v>2</v>
      </c>
      <c r="X54" s="32">
        <v>4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9"/>
        <v>235</v>
      </c>
      <c r="AM54" s="113">
        <f t="shared" si="10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168"/>
      <c r="L55" s="117"/>
      <c r="M55" s="168"/>
      <c r="N55" s="113"/>
      <c r="Q55" s="168">
        <v>0</v>
      </c>
      <c r="R55" s="168" t="s">
        <v>4172</v>
      </c>
      <c r="S55" s="168">
        <f>S77</f>
        <v>240</v>
      </c>
      <c r="T55" s="168"/>
      <c r="U55" s="168"/>
      <c r="V55" s="73"/>
      <c r="W55" s="32"/>
      <c r="X55" s="32"/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9"/>
        <v>233</v>
      </c>
      <c r="AM55" s="170">
        <f t="shared" si="10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168"/>
      <c r="L56" s="117"/>
      <c r="M56" s="168" t="s">
        <v>4445</v>
      </c>
      <c r="N56" s="113">
        <f>-S138</f>
        <v>-17237824.426749565</v>
      </c>
      <c r="Q56" s="169">
        <v>863944</v>
      </c>
      <c r="R56" s="168" t="s">
        <v>4437</v>
      </c>
      <c r="S56" s="168">
        <f>S55-62</f>
        <v>178</v>
      </c>
      <c r="T56" s="191" t="s">
        <v>4509</v>
      </c>
      <c r="U56" s="168">
        <v>184.6</v>
      </c>
      <c r="V56" s="168">
        <f>U56*(1+$N$79+$Q$15*S56/36500)</f>
        <v>211.8742706849315</v>
      </c>
      <c r="W56" s="32">
        <f t="shared" ref="W56:W68" si="16">V56*(1+$W$19/100)</f>
        <v>216.11175609863014</v>
      </c>
      <c r="X56" s="32">
        <f t="shared" ref="X56:X68" si="17">V56*(1+$X$19/100)</f>
        <v>220.34924151232877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9"/>
        <v>231</v>
      </c>
      <c r="AM56" s="113">
        <f t="shared" si="10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168"/>
      <c r="L57" s="117"/>
      <c r="M57" s="168" t="s">
        <v>4717</v>
      </c>
      <c r="N57" s="113">
        <f>50*P48</f>
        <v>24500000</v>
      </c>
      <c r="P57" t="s">
        <v>25</v>
      </c>
      <c r="Q57" s="169">
        <v>1692313</v>
      </c>
      <c r="R57" s="168" t="s">
        <v>4512</v>
      </c>
      <c r="S57" s="198">
        <f>S56-21</f>
        <v>157</v>
      </c>
      <c r="T57" s="190" t="s">
        <v>4513</v>
      </c>
      <c r="U57" s="168">
        <v>168.5</v>
      </c>
      <c r="V57" s="168">
        <f>U57*(1+$N$79+$Q$15*S57/36500)</f>
        <v>190.68106301369866</v>
      </c>
      <c r="W57" s="32">
        <f t="shared" si="16"/>
        <v>194.49468427397264</v>
      </c>
      <c r="X57" s="32">
        <f t="shared" si="17"/>
        <v>198.30830553424661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9"/>
        <v>231</v>
      </c>
      <c r="AM57" s="113">
        <f t="shared" si="10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168"/>
      <c r="L58" s="117"/>
      <c r="M58" s="168"/>
      <c r="N58" s="113"/>
      <c r="P58" t="s">
        <v>25</v>
      </c>
      <c r="Q58" s="169">
        <v>101153</v>
      </c>
      <c r="R58" s="168" t="s">
        <v>4515</v>
      </c>
      <c r="S58" s="198">
        <f>S57-1</f>
        <v>156</v>
      </c>
      <c r="T58" s="190" t="s">
        <v>4517</v>
      </c>
      <c r="U58" s="168">
        <v>166.7</v>
      </c>
      <c r="V58" s="168">
        <f>U58*(1+$N$79+$Q$15*S58/36500)</f>
        <v>188.51623452054795</v>
      </c>
      <c r="W58" s="32">
        <f t="shared" si="16"/>
        <v>192.28655921095893</v>
      </c>
      <c r="X58" s="32">
        <f t="shared" si="17"/>
        <v>196.05688390136987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9"/>
        <v>230</v>
      </c>
      <c r="AM58" s="113">
        <f t="shared" si="10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168" t="s">
        <v>598</v>
      </c>
      <c r="L59" s="113">
        <f>SUM(L16:L46)</f>
        <v>492534786.1109699</v>
      </c>
      <c r="M59" s="168"/>
      <c r="N59" s="113">
        <f>SUM(N16:N58)</f>
        <v>551156880.46228051</v>
      </c>
      <c r="Q59" s="169">
        <v>183105</v>
      </c>
      <c r="R59" s="168" t="s">
        <v>4231</v>
      </c>
      <c r="S59" s="198">
        <f>S58-1</f>
        <v>155</v>
      </c>
      <c r="T59" s="190" t="s">
        <v>4521</v>
      </c>
      <c r="U59" s="168">
        <v>166.6</v>
      </c>
      <c r="V59" s="168">
        <f>U59*(1+$N$79+$Q$15*S59/36500)</f>
        <v>188.27534465753425</v>
      </c>
      <c r="W59" s="32">
        <f t="shared" si="16"/>
        <v>192.04085155068495</v>
      </c>
      <c r="X59" s="32">
        <f t="shared" si="17"/>
        <v>195.80635844383562</v>
      </c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9"/>
        <v>215</v>
      </c>
      <c r="AM59" s="172">
        <f t="shared" si="10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168" t="s">
        <v>599</v>
      </c>
      <c r="L60" s="113">
        <f>L16+L17+L24</f>
        <v>647077</v>
      </c>
      <c r="M60" s="168"/>
      <c r="N60" s="113">
        <f>N16+N17+N33</f>
        <v>641053</v>
      </c>
      <c r="Q60" s="169">
        <v>168846</v>
      </c>
      <c r="R60" s="168" t="s">
        <v>3691</v>
      </c>
      <c r="S60" s="198">
        <f>S59-30</f>
        <v>125</v>
      </c>
      <c r="T60" s="190" t="s">
        <v>4620</v>
      </c>
      <c r="U60" s="168">
        <v>172.2</v>
      </c>
      <c r="V60" s="168">
        <f>U60*(1+$N$79+$Q$15*S60/36500)</f>
        <v>190.64096876712327</v>
      </c>
      <c r="W60" s="32">
        <f t="shared" si="16"/>
        <v>194.45378814246573</v>
      </c>
      <c r="X60" s="32">
        <f t="shared" si="17"/>
        <v>198.26660751780821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9"/>
        <v>209</v>
      </c>
      <c r="AM60" s="113">
        <f t="shared" si="10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56" t="s">
        <v>716</v>
      </c>
      <c r="L61" s="1">
        <f>L59+N7</f>
        <v>562534786.1109699</v>
      </c>
      <c r="M61" s="113"/>
      <c r="N61" s="168"/>
      <c r="O61" s="115"/>
      <c r="P61" s="115"/>
      <c r="Q61" s="169">
        <v>250962</v>
      </c>
      <c r="R61" s="168" t="s">
        <v>4660</v>
      </c>
      <c r="S61" s="198">
        <f>S60-10</f>
        <v>115</v>
      </c>
      <c r="T61" s="190" t="s">
        <v>4661</v>
      </c>
      <c r="U61" s="168">
        <v>5315.5</v>
      </c>
      <c r="V61" s="168">
        <f>U61*(1+$N$79+$Q$15*S61/36500)</f>
        <v>5843.9626410958908</v>
      </c>
      <c r="W61" s="32">
        <f t="shared" si="16"/>
        <v>5960.8418939178091</v>
      </c>
      <c r="X61" s="32">
        <f t="shared" si="17"/>
        <v>6077.7211467397265</v>
      </c>
      <c r="Y61" t="s">
        <v>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9"/>
        <v>206</v>
      </c>
      <c r="AM61" s="113">
        <f t="shared" si="10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O62" s="96"/>
      <c r="P62" s="96"/>
      <c r="Q62" s="169">
        <v>6278475</v>
      </c>
      <c r="R62" s="5" t="s">
        <v>4896</v>
      </c>
      <c r="S62" s="198">
        <f>S61-65</f>
        <v>50</v>
      </c>
      <c r="T62" s="190" t="s">
        <v>4899</v>
      </c>
      <c r="U62" s="214">
        <v>6250.1</v>
      </c>
      <c r="V62" s="214">
        <f>U62*(1+$N$79+$Q$15*S62/36500)</f>
        <v>6559.8309830137005</v>
      </c>
      <c r="W62" s="32">
        <f t="shared" si="16"/>
        <v>6691.0276026739748</v>
      </c>
      <c r="X62" s="32">
        <f t="shared" si="17"/>
        <v>6822.2242223342491</v>
      </c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0"/>
        <v>41000000</v>
      </c>
      <c r="AN62" s="20"/>
    </row>
    <row r="63" spans="1:45">
      <c r="E63" s="26"/>
      <c r="M63" s="25"/>
      <c r="O63" t="s">
        <v>25</v>
      </c>
      <c r="Q63" s="169">
        <v>19918023</v>
      </c>
      <c r="R63" s="5" t="s">
        <v>4896</v>
      </c>
      <c r="S63" s="198">
        <f>S62</f>
        <v>50</v>
      </c>
      <c r="T63" s="190" t="s">
        <v>4900</v>
      </c>
      <c r="U63" s="214">
        <v>183</v>
      </c>
      <c r="V63" s="214">
        <f>U63*(1+$N$79+$Q$15*S63/36500)</f>
        <v>192.06877808219181</v>
      </c>
      <c r="W63" s="32">
        <f t="shared" si="16"/>
        <v>195.91015364383566</v>
      </c>
      <c r="X63" s="32">
        <f t="shared" si="17"/>
        <v>199.7515292054795</v>
      </c>
      <c r="Y63" t="s">
        <v>25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9"/>
        <v>202</v>
      </c>
      <c r="AM63" s="113">
        <f t="shared" si="10"/>
        <v>202000000</v>
      </c>
      <c r="AN63" s="20"/>
    </row>
    <row r="64" spans="1:45">
      <c r="E64" s="26"/>
      <c r="M64" s="25" t="s">
        <v>4080</v>
      </c>
      <c r="N64" s="99" t="s">
        <v>452</v>
      </c>
      <c r="O64" s="113">
        <f>O47*25</f>
        <v>58481500</v>
      </c>
      <c r="P64" s="115"/>
      <c r="Q64" s="169">
        <v>1200301</v>
      </c>
      <c r="R64" s="19" t="s">
        <v>4996</v>
      </c>
      <c r="S64" s="198">
        <f>S63-34</f>
        <v>16</v>
      </c>
      <c r="T64" s="190" t="s">
        <v>4998</v>
      </c>
      <c r="U64" s="214">
        <v>218.5</v>
      </c>
      <c r="V64" s="214">
        <f>U64*(1+$N$79+$Q$15*S64/36500)</f>
        <v>223.62906301369864</v>
      </c>
      <c r="W64" s="32">
        <f t="shared" si="16"/>
        <v>228.10164427397262</v>
      </c>
      <c r="X64" s="32">
        <f t="shared" si="17"/>
        <v>232.57422553424661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0"/>
        <v>258700000</v>
      </c>
      <c r="AN64" s="20"/>
    </row>
    <row r="65" spans="1:40">
      <c r="M65" s="177"/>
      <c r="N65" s="99" t="s">
        <v>1087</v>
      </c>
      <c r="O65" s="113">
        <f>O29*25</f>
        <v>4056950</v>
      </c>
      <c r="P65" s="115"/>
      <c r="Q65" s="169">
        <v>349201</v>
      </c>
      <c r="R65" s="19" t="s">
        <v>5014</v>
      </c>
      <c r="S65" s="198">
        <f>S64-8</f>
        <v>8</v>
      </c>
      <c r="T65" s="190" t="s">
        <v>5015</v>
      </c>
      <c r="U65" s="214">
        <v>4574</v>
      </c>
      <c r="V65" s="214">
        <f>U65*(1+$N$79+$Q$15*S65/36500)</f>
        <v>4653.2993753424662</v>
      </c>
      <c r="W65" s="32">
        <f t="shared" si="16"/>
        <v>4746.3653628493157</v>
      </c>
      <c r="X65" s="32">
        <f t="shared" si="17"/>
        <v>4839.4313503561652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8">AL66+AK65</f>
        <v>199</v>
      </c>
      <c r="AM65" s="113">
        <f t="shared" si="10"/>
        <v>198005000</v>
      </c>
      <c r="AN65" s="20"/>
    </row>
    <row r="66" spans="1:40">
      <c r="M66" s="96" t="s">
        <v>4825</v>
      </c>
      <c r="N66" s="99" t="s">
        <v>751</v>
      </c>
      <c r="O66" s="113">
        <f>O21*25</f>
        <v>31413800</v>
      </c>
      <c r="Q66" s="169">
        <v>6135206</v>
      </c>
      <c r="R66" s="19" t="s">
        <v>5033</v>
      </c>
      <c r="S66" s="198">
        <f>S65-8</f>
        <v>0</v>
      </c>
      <c r="T66" s="190" t="s">
        <v>5034</v>
      </c>
      <c r="U66" s="214">
        <v>196.2</v>
      </c>
      <c r="V66" s="214">
        <f>U66*(1+$N$79+$Q$15*S66/36500)</f>
        <v>198.39744000000002</v>
      </c>
      <c r="W66" s="32">
        <f t="shared" si="16"/>
        <v>202.36538880000003</v>
      </c>
      <c r="X66" s="32">
        <f t="shared" si="17"/>
        <v>206.33333760000002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8"/>
        <v>197</v>
      </c>
      <c r="AM66" s="113">
        <f t="shared" si="10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M67" s="122" t="s">
        <v>4410</v>
      </c>
      <c r="O67" s="114"/>
      <c r="Q67" s="169">
        <v>54003</v>
      </c>
      <c r="R67" s="19" t="s">
        <v>5035</v>
      </c>
      <c r="S67" s="198">
        <f>S66-1</f>
        <v>-1</v>
      </c>
      <c r="T67" s="190" t="s">
        <v>5047</v>
      </c>
      <c r="U67" s="214">
        <v>420</v>
      </c>
      <c r="V67" s="214">
        <f>U67*(1+$N$79+$Q$15*S67/36500)</f>
        <v>424.38180821917814</v>
      </c>
      <c r="W67" s="32">
        <f t="shared" si="16"/>
        <v>432.8694443835617</v>
      </c>
      <c r="X67" s="32">
        <f t="shared" si="17"/>
        <v>441.35708054794526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8"/>
        <v>195</v>
      </c>
      <c r="AM67" s="113">
        <f t="shared" si="10"/>
        <v>-604500000</v>
      </c>
      <c r="AN67" s="20"/>
    </row>
    <row r="68" spans="1:40">
      <c r="F68" t="s">
        <v>4103</v>
      </c>
      <c r="G68" t="s">
        <v>4098</v>
      </c>
      <c r="M68" s="122" t="s">
        <v>4506</v>
      </c>
      <c r="N68" s="96"/>
      <c r="Q68" s="169"/>
      <c r="R68" s="168"/>
      <c r="S68" s="113"/>
      <c r="T68" s="113"/>
      <c r="U68" s="168"/>
      <c r="V68" s="168">
        <f>U68*(1+$N$79+$Q$15*S68/36500)</f>
        <v>0</v>
      </c>
      <c r="W68" s="32">
        <f t="shared" si="16"/>
        <v>0</v>
      </c>
      <c r="X68" s="32">
        <f t="shared" si="17"/>
        <v>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8"/>
        <v>192</v>
      </c>
      <c r="AM68" s="113">
        <f t="shared" si="10"/>
        <v>8762880000</v>
      </c>
      <c r="AN68" s="20"/>
    </row>
    <row r="69" spans="1:40">
      <c r="F69" t="s">
        <v>4104</v>
      </c>
      <c r="G69" t="s">
        <v>4100</v>
      </c>
      <c r="M69" s="122" t="s">
        <v>4576</v>
      </c>
      <c r="N69" s="96"/>
      <c r="P69" t="s">
        <v>25</v>
      </c>
      <c r="Q69" s="113">
        <f>SUM(N27:N29)-SUM(Q55:Q68)</f>
        <v>372983.39999999851</v>
      </c>
      <c r="R69" s="168"/>
      <c r="S69" s="168"/>
      <c r="T69" s="168"/>
      <c r="U69" s="168"/>
      <c r="V69" s="168"/>
      <c r="W69" s="32"/>
      <c r="X69" s="32"/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8"/>
        <v>191</v>
      </c>
      <c r="AM69" s="113">
        <f t="shared" si="10"/>
        <v>6398500000</v>
      </c>
      <c r="AN69" s="20"/>
    </row>
    <row r="70" spans="1:40" ht="45">
      <c r="G70" t="s">
        <v>4101</v>
      </c>
      <c r="K70" s="213" t="s">
        <v>4754</v>
      </c>
      <c r="L70" s="22" t="s">
        <v>4730</v>
      </c>
      <c r="M70" s="207" t="s">
        <v>4708</v>
      </c>
      <c r="N70" s="96"/>
      <c r="P70" s="115"/>
      <c r="R70" s="115"/>
      <c r="S70" s="115"/>
      <c r="T70" s="115" t="s">
        <v>25</v>
      </c>
      <c r="U70" s="115"/>
      <c r="V70" s="115" t="s">
        <v>25</v>
      </c>
      <c r="W70" s="195" t="s">
        <v>25</v>
      </c>
      <c r="X70" s="195"/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8"/>
        <v>190</v>
      </c>
      <c r="AM70" s="117">
        <f t="shared" si="10"/>
        <v>2280000000</v>
      </c>
      <c r="AN70" s="20"/>
    </row>
    <row r="71" spans="1:40">
      <c r="G71" t="s">
        <v>4102</v>
      </c>
      <c r="K71" t="s">
        <v>4755</v>
      </c>
      <c r="M71" s="122"/>
      <c r="N71" s="96"/>
      <c r="P71" s="115" t="s">
        <v>25</v>
      </c>
      <c r="Q71" t="s">
        <v>25</v>
      </c>
      <c r="S71" s="26" t="s">
        <v>25</v>
      </c>
      <c r="T71" t="s">
        <v>25</v>
      </c>
      <c r="U71" s="96" t="s">
        <v>25</v>
      </c>
      <c r="V71" s="115" t="s">
        <v>25</v>
      </c>
      <c r="W71" s="195" t="s">
        <v>25</v>
      </c>
      <c r="X71" s="195"/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8"/>
        <v>189</v>
      </c>
      <c r="AM71" s="117">
        <f t="shared" si="10"/>
        <v>2929500000</v>
      </c>
      <c r="AN71" s="20"/>
    </row>
    <row r="72" spans="1:40">
      <c r="G72" t="s">
        <v>4106</v>
      </c>
      <c r="K72" t="s">
        <v>4579</v>
      </c>
      <c r="L72" s="96"/>
      <c r="M72" s="122"/>
      <c r="O72" t="s">
        <v>25</v>
      </c>
      <c r="P72" s="115"/>
      <c r="Q72" t="s">
        <v>25</v>
      </c>
      <c r="T72" t="s">
        <v>25</v>
      </c>
      <c r="V72" t="s">
        <v>25</v>
      </c>
      <c r="W72" s="195" t="s">
        <v>25</v>
      </c>
      <c r="X72" s="195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8"/>
        <v>185</v>
      </c>
      <c r="AM72" s="117">
        <f t="shared" si="10"/>
        <v>27750000</v>
      </c>
      <c r="AN72" s="20"/>
    </row>
    <row r="73" spans="1:40">
      <c r="G73" t="s">
        <v>4105</v>
      </c>
      <c r="K73" t="s">
        <v>4826</v>
      </c>
      <c r="M73" s="96">
        <f>O47+O21+O29-O53</f>
        <v>3704396</v>
      </c>
      <c r="N73" s="113">
        <f>M73*P47</f>
        <v>733840847.60000002</v>
      </c>
      <c r="P73" s="115"/>
      <c r="T73" t="s">
        <v>25</v>
      </c>
      <c r="U73" s="96" t="s">
        <v>25</v>
      </c>
      <c r="V73" t="s">
        <v>25</v>
      </c>
      <c r="W73" s="195"/>
      <c r="X73" s="195"/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8"/>
        <v>184</v>
      </c>
      <c r="AM73" s="180">
        <f t="shared" si="10"/>
        <v>5336000000</v>
      </c>
      <c r="AN73" s="179" t="s">
        <v>4186</v>
      </c>
    </row>
    <row r="74" spans="1:40">
      <c r="K74" t="s">
        <v>4827</v>
      </c>
      <c r="M74" t="s">
        <v>4267</v>
      </c>
      <c r="P74" s="115"/>
      <c r="W74" s="195"/>
      <c r="X74" s="195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8"/>
        <v>169</v>
      </c>
      <c r="AM74" s="117">
        <f t="shared" si="10"/>
        <v>-21970000</v>
      </c>
      <c r="AN74" s="20" t="s">
        <v>4212</v>
      </c>
    </row>
    <row r="75" spans="1:40" ht="30">
      <c r="G75" s="48" t="s">
        <v>788</v>
      </c>
      <c r="H75" s="202" t="s">
        <v>476</v>
      </c>
      <c r="K75" t="s">
        <v>4828</v>
      </c>
      <c r="M75" t="s">
        <v>4581</v>
      </c>
      <c r="N75" t="s">
        <v>25</v>
      </c>
      <c r="P75" s="115"/>
      <c r="Q75" s="73" t="s">
        <v>4295</v>
      </c>
      <c r="R75" s="112"/>
      <c r="S75" s="112"/>
      <c r="T75" s="112"/>
      <c r="U75" s="168" t="s">
        <v>4363</v>
      </c>
      <c r="V75" s="36" t="s">
        <v>4365</v>
      </c>
      <c r="W75" s="32"/>
      <c r="X75" s="32"/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8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G76" s="47">
        <v>700000</v>
      </c>
      <c r="H76" s="202" t="s">
        <v>1039</v>
      </c>
      <c r="K76" t="s">
        <v>4539</v>
      </c>
      <c r="P76" s="115"/>
      <c r="Q76" s="112" t="s">
        <v>267</v>
      </c>
      <c r="R76" s="112" t="s">
        <v>180</v>
      </c>
      <c r="S76" s="112" t="s">
        <v>183</v>
      </c>
      <c r="T76" s="112" t="s">
        <v>8</v>
      </c>
      <c r="U76" s="168"/>
      <c r="V76" s="99"/>
      <c r="W76" s="32">
        <v>2</v>
      </c>
      <c r="X76" s="32">
        <v>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8"/>
        <v>160</v>
      </c>
      <c r="AM76" s="117">
        <f t="shared" si="10"/>
        <v>-27200000</v>
      </c>
      <c r="AN76" s="20"/>
    </row>
    <row r="77" spans="1:40">
      <c r="D77" s="1" t="s">
        <v>305</v>
      </c>
      <c r="E77" s="1">
        <v>70000</v>
      </c>
      <c r="G77" s="47">
        <v>500000</v>
      </c>
      <c r="H77" s="202" t="s">
        <v>479</v>
      </c>
      <c r="K77" t="s">
        <v>4585</v>
      </c>
      <c r="M77" t="s">
        <v>949</v>
      </c>
      <c r="N77">
        <v>6.3E-3</v>
      </c>
      <c r="P77" s="115"/>
      <c r="Q77" s="35">
        <v>184971545</v>
      </c>
      <c r="R77" s="5" t="s">
        <v>4172</v>
      </c>
      <c r="S77" s="5">
        <v>240</v>
      </c>
      <c r="T77" s="5" t="s">
        <v>4346</v>
      </c>
      <c r="U77" s="168">
        <v>192</v>
      </c>
      <c r="V77" s="99">
        <f>U77*(1+$N$79+$Q$15*S77/36500)</f>
        <v>229.49944109589046</v>
      </c>
      <c r="W77" s="32">
        <f t="shared" ref="W77:W96" si="19">V77*(1+$W$19/100)</f>
        <v>234.08942991780827</v>
      </c>
      <c r="X77" s="32">
        <f t="shared" ref="X77:X96" si="20">V77*(1+$X$19/100)</f>
        <v>238.67941873972609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8"/>
        <v>157</v>
      </c>
      <c r="AM77" s="117">
        <f t="shared" si="10"/>
        <v>-47100000</v>
      </c>
      <c r="AN77" s="20"/>
    </row>
    <row r="78" spans="1:40">
      <c r="D78" s="1" t="s">
        <v>321</v>
      </c>
      <c r="E78" s="1">
        <v>100000</v>
      </c>
      <c r="G78" s="47">
        <v>180000</v>
      </c>
      <c r="H78" s="202" t="s">
        <v>558</v>
      </c>
      <c r="K78" t="s">
        <v>4538</v>
      </c>
      <c r="M78" t="s">
        <v>61</v>
      </c>
      <c r="N78">
        <v>4.8999999999999998E-3</v>
      </c>
      <c r="P78" s="115"/>
      <c r="Q78" s="35">
        <v>9560464</v>
      </c>
      <c r="R78" s="5" t="s">
        <v>4299</v>
      </c>
      <c r="S78" s="5">
        <f>S77-31</f>
        <v>209</v>
      </c>
      <c r="T78" s="5" t="s">
        <v>4312</v>
      </c>
      <c r="U78" s="168">
        <v>214.57</v>
      </c>
      <c r="V78" s="99">
        <f>U78*(1+$N$79+$Q$15*S78/36500)</f>
        <v>251.37492756164383</v>
      </c>
      <c r="W78" s="32">
        <f t="shared" si="19"/>
        <v>256.4024261128767</v>
      </c>
      <c r="X78" s="32">
        <f t="shared" si="20"/>
        <v>261.42992466410959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 t="shared" ref="AL78:AL83" si="21">AL79+AK78</f>
        <v>154</v>
      </c>
      <c r="AM78" s="117">
        <f t="shared" si="10"/>
        <v>-1755600000</v>
      </c>
      <c r="AN78" s="20"/>
    </row>
    <row r="79" spans="1:40">
      <c r="D79" s="1" t="s">
        <v>306</v>
      </c>
      <c r="E79" s="1">
        <v>80000</v>
      </c>
      <c r="G79" s="47">
        <v>0</v>
      </c>
      <c r="H79" s="202" t="s">
        <v>784</v>
      </c>
      <c r="K79" s="22" t="s">
        <v>4243</v>
      </c>
      <c r="M79" t="s">
        <v>6</v>
      </c>
      <c r="N79">
        <f>N77+N78</f>
        <v>1.12E-2</v>
      </c>
      <c r="O79" t="s">
        <v>25</v>
      </c>
      <c r="P79" t="s">
        <v>25</v>
      </c>
      <c r="Q79" s="35">
        <v>2000000</v>
      </c>
      <c r="R79" s="5" t="s">
        <v>4342</v>
      </c>
      <c r="S79" s="5">
        <f>S78-11</f>
        <v>198</v>
      </c>
      <c r="T79" s="5" t="s">
        <v>4345</v>
      </c>
      <c r="U79" s="168">
        <v>206.8</v>
      </c>
      <c r="V79" s="99">
        <f>U79*(1+$N$79+$Q$15*S79/36500)</f>
        <v>240.52709698630139</v>
      </c>
      <c r="W79" s="32">
        <f t="shared" si="19"/>
        <v>245.33763892602741</v>
      </c>
      <c r="X79" s="32">
        <f t="shared" si="20"/>
        <v>250.14818086575346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 t="shared" si="21"/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G80" s="47">
        <v>0</v>
      </c>
      <c r="H80" s="202" t="s">
        <v>785</v>
      </c>
      <c r="J80" t="s">
        <v>25</v>
      </c>
      <c r="K80" t="s">
        <v>4535</v>
      </c>
      <c r="Q80" s="35">
        <v>1429825</v>
      </c>
      <c r="R80" s="5" t="s">
        <v>4372</v>
      </c>
      <c r="S80" s="5">
        <f>S79-7</f>
        <v>191</v>
      </c>
      <c r="T80" s="5" t="s">
        <v>4381</v>
      </c>
      <c r="U80" s="168">
        <v>203.9</v>
      </c>
      <c r="V80" s="99">
        <f>U80*(1+$N$79+$Q$15*S80/36500)</f>
        <v>236.05921972602741</v>
      </c>
      <c r="W80" s="32">
        <f t="shared" si="19"/>
        <v>240.78040412054796</v>
      </c>
      <c r="X80" s="32">
        <f t="shared" si="20"/>
        <v>245.50158851506851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 t="shared" si="21"/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G81" s="47">
        <v>500000</v>
      </c>
      <c r="H81" s="48" t="s">
        <v>786</v>
      </c>
      <c r="K81" t="s">
        <v>4296</v>
      </c>
      <c r="Q81" s="35">
        <v>1420747</v>
      </c>
      <c r="R81" s="5" t="s">
        <v>4372</v>
      </c>
      <c r="S81" s="5">
        <f>S80</f>
        <v>191</v>
      </c>
      <c r="T81" s="5" t="s">
        <v>4383</v>
      </c>
      <c r="U81" s="168">
        <v>203.1</v>
      </c>
      <c r="V81" s="99">
        <f>U81*(1+$N$79+$Q$15*S81/36500)</f>
        <v>235.13304328767123</v>
      </c>
      <c r="W81" s="32">
        <f t="shared" si="19"/>
        <v>239.83570415342464</v>
      </c>
      <c r="X81" s="32">
        <f t="shared" si="20"/>
        <v>244.53836501917809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1"/>
        <v>135</v>
      </c>
      <c r="AM81" s="117">
        <f t="shared" si="10"/>
        <v>-61570935</v>
      </c>
      <c r="AN81" s="20"/>
    </row>
    <row r="82" spans="4:52">
      <c r="D82" s="31" t="s">
        <v>309</v>
      </c>
      <c r="E82" s="1">
        <v>100000</v>
      </c>
      <c r="G82" s="47">
        <v>75000</v>
      </c>
      <c r="H82" s="48" t="s">
        <v>787</v>
      </c>
      <c r="K82" t="s">
        <v>25</v>
      </c>
      <c r="Q82" s="35">
        <v>2010885</v>
      </c>
      <c r="R82" s="5" t="s">
        <v>4392</v>
      </c>
      <c r="S82" s="5">
        <f>S81-3</f>
        <v>188</v>
      </c>
      <c r="T82" s="5" t="s">
        <v>4398</v>
      </c>
      <c r="U82" s="168">
        <v>202.1</v>
      </c>
      <c r="V82" s="99">
        <f>U82*(1+$N$79+$Q$15*S82/36500)</f>
        <v>233.51021589041096</v>
      </c>
      <c r="W82" s="32">
        <f t="shared" si="19"/>
        <v>238.18042020821918</v>
      </c>
      <c r="X82" s="32">
        <f t="shared" si="20"/>
        <v>242.85062452602742</v>
      </c>
      <c r="Y82" s="96" t="s">
        <v>25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 t="shared" si="21"/>
        <v>134</v>
      </c>
      <c r="AM82" s="117">
        <f t="shared" si="10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0</v>
      </c>
      <c r="H83" s="48" t="s">
        <v>789</v>
      </c>
      <c r="K83" s="96"/>
      <c r="M83" s="194" t="s">
        <v>4534</v>
      </c>
      <c r="Q83" s="35">
        <v>1994038</v>
      </c>
      <c r="R83" s="5" t="s">
        <v>4403</v>
      </c>
      <c r="S83" s="5">
        <f>S82-3</f>
        <v>185</v>
      </c>
      <c r="T83" s="5" t="s">
        <v>4419</v>
      </c>
      <c r="U83" s="168">
        <v>5560.3</v>
      </c>
      <c r="V83" s="99">
        <f>U83*(1+$N$79+$Q$15*S83/36500)</f>
        <v>6411.6809490410969</v>
      </c>
      <c r="W83" s="32">
        <f t="shared" si="19"/>
        <v>6539.914568021919</v>
      </c>
      <c r="X83" s="32">
        <f t="shared" si="20"/>
        <v>6668.148187002741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4392</v>
      </c>
      <c r="AJ83" s="117">
        <v>-6234370</v>
      </c>
      <c r="AK83" s="20">
        <v>3</v>
      </c>
      <c r="AL83" s="99">
        <f t="shared" si="21"/>
        <v>132</v>
      </c>
      <c r="AM83" s="117">
        <f t="shared" si="10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48" t="s">
        <v>564</v>
      </c>
      <c r="J84">
        <v>0</v>
      </c>
      <c r="K84" s="96"/>
      <c r="M84" t="s">
        <v>4535</v>
      </c>
      <c r="Q84" s="35">
        <v>444</v>
      </c>
      <c r="R84" s="5" t="s">
        <v>4403</v>
      </c>
      <c r="S84" s="5">
        <f>S83</f>
        <v>185</v>
      </c>
      <c r="T84" s="5" t="s">
        <v>4610</v>
      </c>
      <c r="U84" s="168">
        <v>441.8</v>
      </c>
      <c r="V84" s="99">
        <f>U84*(1+$N$79+$Q$15*S84/36500)</f>
        <v>509.44744767123296</v>
      </c>
      <c r="W84" s="32">
        <f t="shared" si="19"/>
        <v>519.63639662465766</v>
      </c>
      <c r="X84" s="32">
        <f t="shared" si="20"/>
        <v>529.82534557808231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4403</v>
      </c>
      <c r="AJ84" s="117">
        <v>1950957</v>
      </c>
      <c r="AK84" s="20">
        <v>4</v>
      </c>
      <c r="AL84" s="99">
        <f t="shared" si="18"/>
        <v>129</v>
      </c>
      <c r="AM84" s="117">
        <f t="shared" si="10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50000</v>
      </c>
      <c r="H85" s="48" t="s">
        <v>792</v>
      </c>
      <c r="K85" s="96"/>
      <c r="M85" t="s">
        <v>4538</v>
      </c>
      <c r="Q85" s="35">
        <v>1971103</v>
      </c>
      <c r="R85" s="5" t="s">
        <v>4414</v>
      </c>
      <c r="S85" s="5">
        <f>S84-1</f>
        <v>184</v>
      </c>
      <c r="T85" s="5" t="s">
        <v>4415</v>
      </c>
      <c r="U85" s="168">
        <v>196.2</v>
      </c>
      <c r="V85" s="99">
        <f>U85*(1+$N$79+$Q$15*S85/36500)</f>
        <v>226.09120438356163</v>
      </c>
      <c r="W85" s="32">
        <f t="shared" si="19"/>
        <v>230.61302847123287</v>
      </c>
      <c r="X85" s="32">
        <f t="shared" si="20"/>
        <v>235.1348525589041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4429</v>
      </c>
      <c r="AJ85" s="117">
        <v>600000</v>
      </c>
      <c r="AK85" s="20">
        <v>5</v>
      </c>
      <c r="AL85" s="99">
        <f t="shared" si="18"/>
        <v>125</v>
      </c>
      <c r="AM85" s="117">
        <f t="shared" si="10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140000</v>
      </c>
      <c r="H86" s="48" t="s">
        <v>314</v>
      </c>
      <c r="K86" s="96"/>
      <c r="M86" t="s">
        <v>4539</v>
      </c>
      <c r="Q86" s="35">
        <v>1049856</v>
      </c>
      <c r="R86" s="5" t="s">
        <v>4437</v>
      </c>
      <c r="S86" s="5">
        <f>S85-6</f>
        <v>178</v>
      </c>
      <c r="T86" s="5" t="s">
        <v>4476</v>
      </c>
      <c r="U86" s="168">
        <v>184.5</v>
      </c>
      <c r="V86" s="99">
        <f>U86*(1+$N$79+$Q$15*S86/36500)</f>
        <v>211.75949589041096</v>
      </c>
      <c r="W86" s="32">
        <f t="shared" si="19"/>
        <v>215.99468580821917</v>
      </c>
      <c r="X86" s="32">
        <f t="shared" si="20"/>
        <v>220.22987572602742</v>
      </c>
      <c r="Y86" s="96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4439</v>
      </c>
      <c r="AJ86" s="117">
        <v>7500000</v>
      </c>
      <c r="AK86" s="20">
        <v>2</v>
      </c>
      <c r="AL86" s="99">
        <f t="shared" si="18"/>
        <v>120</v>
      </c>
      <c r="AM86" s="117">
        <f t="shared" si="10"/>
        <v>900000000</v>
      </c>
      <c r="AN86" s="20"/>
    </row>
    <row r="87" spans="4:52">
      <c r="D87" s="32" t="s">
        <v>315</v>
      </c>
      <c r="E87" s="1">
        <v>50000</v>
      </c>
      <c r="G87" s="47"/>
      <c r="H87" s="48" t="s">
        <v>25</v>
      </c>
      <c r="J87">
        <v>0</v>
      </c>
      <c r="K87" s="96"/>
      <c r="L87" s="96"/>
      <c r="M87" s="96"/>
      <c r="N87" s="96"/>
      <c r="Q87" s="35">
        <v>1783234</v>
      </c>
      <c r="R87" s="5" t="s">
        <v>4439</v>
      </c>
      <c r="S87" s="5">
        <f>S86-2</f>
        <v>176</v>
      </c>
      <c r="T87" s="5" t="s">
        <v>4440</v>
      </c>
      <c r="U87" s="168">
        <v>177.5</v>
      </c>
      <c r="V87" s="99">
        <f>U87*(1+$N$79+$Q$15*S87/36500)</f>
        <v>203.45293150684932</v>
      </c>
      <c r="W87" s="32">
        <f t="shared" si="19"/>
        <v>207.52199013698632</v>
      </c>
      <c r="X87" s="32">
        <f t="shared" si="20"/>
        <v>211.59104876712331</v>
      </c>
      <c r="Y87" s="96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4444</v>
      </c>
      <c r="AJ87" s="117">
        <v>-587816</v>
      </c>
      <c r="AK87" s="20">
        <v>3</v>
      </c>
      <c r="AL87" s="99">
        <f t="shared" si="18"/>
        <v>118</v>
      </c>
      <c r="AM87" s="117">
        <f t="shared" si="10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f>SUM(G76:G87)</f>
        <v>2645000</v>
      </c>
      <c r="H88" s="48" t="s">
        <v>6</v>
      </c>
      <c r="K88" s="96"/>
      <c r="L88" s="96"/>
      <c r="M88" s="96"/>
      <c r="N88" s="96"/>
      <c r="Q88" s="35">
        <v>1662335</v>
      </c>
      <c r="R88" s="5" t="s">
        <v>4443</v>
      </c>
      <c r="S88" s="5">
        <f>S87-5</f>
        <v>171</v>
      </c>
      <c r="T88" s="219" t="s">
        <v>4593</v>
      </c>
      <c r="U88" s="168">
        <v>190.3</v>
      </c>
      <c r="V88" s="99">
        <f>U88*(1+$N$79+$Q$15*S88/36500)</f>
        <v>217.3945490410959</v>
      </c>
      <c r="W88" s="32">
        <f t="shared" si="19"/>
        <v>221.74244002191782</v>
      </c>
      <c r="X88" s="32">
        <f t="shared" si="20"/>
        <v>226.09033100273973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4443</v>
      </c>
      <c r="AJ88" s="117">
        <v>-907489</v>
      </c>
      <c r="AK88" s="20">
        <v>0</v>
      </c>
      <c r="AL88" s="99">
        <f>AL89+AK88</f>
        <v>115</v>
      </c>
      <c r="AM88" s="117">
        <f t="shared" si="10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K89" s="96"/>
      <c r="Q89" s="169">
        <v>499973</v>
      </c>
      <c r="R89" s="168" t="s">
        <v>4583</v>
      </c>
      <c r="S89" s="168">
        <f>S88-37</f>
        <v>134</v>
      </c>
      <c r="T89" s="73" t="s">
        <v>4584</v>
      </c>
      <c r="U89" s="168">
        <v>413</v>
      </c>
      <c r="V89" s="99">
        <f>U89*(1+$N$79+$Q$15*S89/36500)</f>
        <v>460.07973698630144</v>
      </c>
      <c r="W89" s="32">
        <f t="shared" si="19"/>
        <v>469.28133172602747</v>
      </c>
      <c r="X89" s="32">
        <f t="shared" si="20"/>
        <v>478.48292646575351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4443</v>
      </c>
      <c r="AJ89" s="117">
        <v>2450000</v>
      </c>
      <c r="AK89" s="20">
        <v>1</v>
      </c>
      <c r="AL89" s="99">
        <f t="shared" si="18"/>
        <v>115</v>
      </c>
      <c r="AM89" s="117">
        <f t="shared" si="10"/>
        <v>281750000</v>
      </c>
      <c r="AN89" s="20" t="s">
        <v>4482</v>
      </c>
    </row>
    <row r="90" spans="4:52">
      <c r="D90" s="32" t="s">
        <v>327</v>
      </c>
      <c r="E90" s="1">
        <v>150000</v>
      </c>
      <c r="J90">
        <v>395</v>
      </c>
      <c r="K90" s="96"/>
      <c r="Q90" s="35">
        <v>2272487</v>
      </c>
      <c r="R90" s="5" t="s">
        <v>4603</v>
      </c>
      <c r="S90" s="5">
        <f>S89-5</f>
        <v>129</v>
      </c>
      <c r="T90" s="5" t="s">
        <v>4604</v>
      </c>
      <c r="U90" s="168">
        <v>174.9</v>
      </c>
      <c r="V90" s="99">
        <f>U90*(1+$N$79+$Q$15*S90/36500)</f>
        <v>194.16679232876714</v>
      </c>
      <c r="W90" s="32">
        <f t="shared" si="19"/>
        <v>198.05012817534248</v>
      </c>
      <c r="X90" s="32">
        <f t="shared" si="20"/>
        <v>201.93346402191784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4484</v>
      </c>
      <c r="AJ90" s="117">
        <v>1500000</v>
      </c>
      <c r="AK90" s="20">
        <v>1</v>
      </c>
      <c r="AL90" s="99">
        <f t="shared" si="18"/>
        <v>114</v>
      </c>
      <c r="AM90" s="117">
        <f t="shared" si="10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F91" s="96"/>
      <c r="G91" s="96"/>
      <c r="H91" s="96"/>
      <c r="I91" s="96"/>
      <c r="J91" s="96"/>
      <c r="K91" s="96"/>
      <c r="P91" s="115"/>
      <c r="Q91" s="35">
        <v>3975257</v>
      </c>
      <c r="R91" s="5" t="s">
        <v>4608</v>
      </c>
      <c r="S91" s="5">
        <f>S90-1</f>
        <v>128</v>
      </c>
      <c r="T91" s="5" t="s">
        <v>4609</v>
      </c>
      <c r="U91" s="168">
        <v>173</v>
      </c>
      <c r="V91" s="99">
        <f>U91*(1+$N$79+$Q$15*S91/36500)</f>
        <v>191.92477808219178</v>
      </c>
      <c r="W91" s="32">
        <f t="shared" si="19"/>
        <v>195.76327364383562</v>
      </c>
      <c r="X91" s="32">
        <f t="shared" si="20"/>
        <v>199.60176920547946</v>
      </c>
      <c r="Z91" s="115"/>
      <c r="AA91" s="115"/>
      <c r="AE91"/>
      <c r="AG91" s="96"/>
      <c r="AH91" s="20">
        <v>71</v>
      </c>
      <c r="AI91" s="117" t="s">
        <v>4490</v>
      </c>
      <c r="AJ91" s="117">
        <v>2648000</v>
      </c>
      <c r="AK91" s="20">
        <v>1</v>
      </c>
      <c r="AL91" s="99">
        <f t="shared" si="18"/>
        <v>113</v>
      </c>
      <c r="AM91" s="117">
        <f t="shared" si="10"/>
        <v>299224000</v>
      </c>
      <c r="AN91" s="20" t="s">
        <v>4491</v>
      </c>
      <c r="AU91" s="96" t="s">
        <v>25</v>
      </c>
    </row>
    <row r="92" spans="4:52">
      <c r="D92" s="32" t="s">
        <v>319</v>
      </c>
      <c r="E92" s="1">
        <v>20000</v>
      </c>
      <c r="F92" s="96"/>
      <c r="G92" s="96"/>
      <c r="H92" s="96"/>
      <c r="I92" s="96"/>
      <c r="J92" s="96"/>
      <c r="K92" s="96"/>
      <c r="P92" s="128"/>
      <c r="Q92" s="35">
        <v>1031662</v>
      </c>
      <c r="R92" s="5" t="s">
        <v>4234</v>
      </c>
      <c r="S92" s="5">
        <f>S91-1</f>
        <v>127</v>
      </c>
      <c r="T92" s="5" t="s">
        <v>4612</v>
      </c>
      <c r="U92" s="168">
        <v>171.2</v>
      </c>
      <c r="V92" s="99">
        <f>U92*(1+$N$79+$Q$15*S92/36500)</f>
        <v>189.79654136986301</v>
      </c>
      <c r="W92" s="32">
        <f t="shared" si="19"/>
        <v>193.59247219726026</v>
      </c>
      <c r="X92" s="32">
        <f t="shared" si="20"/>
        <v>197.38840302465752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8"/>
        <v>112</v>
      </c>
      <c r="AM92" s="117">
        <f t="shared" si="10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F93" s="96"/>
      <c r="G93" s="96"/>
      <c r="H93" s="96"/>
      <c r="I93" s="96"/>
      <c r="J93" s="96"/>
      <c r="K93" s="96"/>
      <c r="P93" s="128"/>
      <c r="Q93" s="35">
        <v>577500</v>
      </c>
      <c r="R93" s="5" t="s">
        <v>4234</v>
      </c>
      <c r="S93" s="5">
        <f>S92</f>
        <v>127</v>
      </c>
      <c r="T93" s="5" t="s">
        <v>4616</v>
      </c>
      <c r="U93" s="168">
        <v>175</v>
      </c>
      <c r="V93" s="99">
        <f>U93*(1+$N$79+$Q$15*S93/36500)</f>
        <v>194.00931506849315</v>
      </c>
      <c r="W93" s="32">
        <f t="shared" si="19"/>
        <v>197.88950136986301</v>
      </c>
      <c r="X93" s="32">
        <f t="shared" si="20"/>
        <v>201.76968767123287</v>
      </c>
      <c r="Z93" s="115"/>
      <c r="AA93" s="115"/>
      <c r="AE93"/>
      <c r="AG93" s="96"/>
      <c r="AH93" s="20">
        <v>73</v>
      </c>
      <c r="AI93" s="117" t="s">
        <v>4501</v>
      </c>
      <c r="AJ93" s="117">
        <v>14000000</v>
      </c>
      <c r="AK93" s="20">
        <v>2</v>
      </c>
      <c r="AL93" s="99">
        <f>AL94+AK93</f>
        <v>108</v>
      </c>
      <c r="AM93" s="117">
        <f t="shared" si="10"/>
        <v>1512000000</v>
      </c>
      <c r="AN93" s="20"/>
    </row>
    <row r="94" spans="4:52">
      <c r="D94" s="32" t="s">
        <v>322</v>
      </c>
      <c r="E94" s="1">
        <v>150000</v>
      </c>
      <c r="K94" s="96"/>
      <c r="L94" s="96"/>
      <c r="M94" s="96"/>
      <c r="N94" s="96"/>
      <c r="P94" s="115"/>
      <c r="Q94" s="35">
        <v>12636487</v>
      </c>
      <c r="R94" s="5" t="s">
        <v>3691</v>
      </c>
      <c r="S94" s="5">
        <f>S93-2</f>
        <v>125</v>
      </c>
      <c r="T94" s="5" t="s">
        <v>4619</v>
      </c>
      <c r="U94" s="168">
        <v>172.1</v>
      </c>
      <c r="V94" s="99">
        <f>U94*(1+$N$79+$Q$15*S94/36500)</f>
        <v>190.5302597260274</v>
      </c>
      <c r="W94" s="32">
        <f t="shared" si="19"/>
        <v>194.34086492054794</v>
      </c>
      <c r="X94" s="32">
        <f t="shared" si="20"/>
        <v>198.15147011506849</v>
      </c>
      <c r="Y94">
        <v>961521</v>
      </c>
      <c r="AH94" s="20">
        <v>74</v>
      </c>
      <c r="AI94" s="117" t="s">
        <v>4505</v>
      </c>
      <c r="AJ94" s="117">
        <v>1313000</v>
      </c>
      <c r="AK94" s="20">
        <v>0</v>
      </c>
      <c r="AL94" s="99">
        <f>AL95+AK94</f>
        <v>106</v>
      </c>
      <c r="AM94" s="117">
        <f t="shared" si="10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K95" s="96"/>
      <c r="L95" s="96"/>
      <c r="M95" s="96"/>
      <c r="N95" s="96"/>
      <c r="Q95" s="169">
        <v>60508</v>
      </c>
      <c r="R95" s="168" t="s">
        <v>4622</v>
      </c>
      <c r="S95" s="168">
        <f>S94-3</f>
        <v>122</v>
      </c>
      <c r="T95" s="168" t="s">
        <v>4921</v>
      </c>
      <c r="U95" s="168">
        <v>1204.7</v>
      </c>
      <c r="V95" s="99">
        <f>U95*(1+$N$79+$Q$15*S95/36500)</f>
        <v>1330.9393578082193</v>
      </c>
      <c r="W95" s="32">
        <f t="shared" si="19"/>
        <v>1357.5581449643837</v>
      </c>
      <c r="X95" s="32">
        <f t="shared" si="20"/>
        <v>1384.1769321205481</v>
      </c>
      <c r="Y95">
        <v>44349</v>
      </c>
      <c r="AH95" s="99">
        <v>75</v>
      </c>
      <c r="AI95" s="113" t="s">
        <v>4505</v>
      </c>
      <c r="AJ95" s="113">
        <v>2269000</v>
      </c>
      <c r="AK95" s="99">
        <v>1</v>
      </c>
      <c r="AL95" s="99">
        <f t="shared" ref="AL95:AL120" si="22">AL96+AK95</f>
        <v>106</v>
      </c>
      <c r="AM95" s="117">
        <f t="shared" si="10"/>
        <v>240514000</v>
      </c>
      <c r="AN95" s="99"/>
    </row>
    <row r="96" spans="4:52">
      <c r="D96" s="32" t="s">
        <v>314</v>
      </c>
      <c r="E96" s="1">
        <v>140000</v>
      </c>
      <c r="K96" s="96"/>
      <c r="L96" s="96"/>
      <c r="M96" s="96"/>
      <c r="N96" s="96"/>
      <c r="Q96" s="39">
        <v>11121445</v>
      </c>
      <c r="R96" s="5" t="s">
        <v>4622</v>
      </c>
      <c r="S96" s="5">
        <f>S95</f>
        <v>122</v>
      </c>
      <c r="T96" s="5" t="s">
        <v>4819</v>
      </c>
      <c r="U96" s="168">
        <v>171.8</v>
      </c>
      <c r="V96" s="99">
        <f>U96*(1+$N$79+$Q$15*S96/36500)</f>
        <v>189.80275726027401</v>
      </c>
      <c r="W96" s="32">
        <f t="shared" si="19"/>
        <v>193.59881240547949</v>
      </c>
      <c r="X96" s="32">
        <f t="shared" si="20"/>
        <v>197.39486755068498</v>
      </c>
      <c r="Y96">
        <v>9625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2"/>
        <v>105</v>
      </c>
      <c r="AM96" s="117">
        <f t="shared" si="10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t="s">
        <v>25</v>
      </c>
      <c r="L97" s="96"/>
      <c r="M97" s="96"/>
      <c r="N97" s="96"/>
      <c r="Q97" s="35">
        <v>12656982</v>
      </c>
      <c r="R97" s="5" t="s">
        <v>4631</v>
      </c>
      <c r="S97" s="5">
        <f>S96-2</f>
        <v>120</v>
      </c>
      <c r="T97" s="5" t="s">
        <v>4632</v>
      </c>
      <c r="U97" s="168">
        <v>5249.9</v>
      </c>
      <c r="V97" s="99">
        <f>U97*(1+$N$79+$Q$15*S97/36500)</f>
        <v>5791.9773457534247</v>
      </c>
      <c r="W97" s="32">
        <f t="shared" ref="W97:W125" si="23">V97*(1+$W$19/100)</f>
        <v>5907.816892668493</v>
      </c>
      <c r="X97" s="32">
        <f t="shared" ref="X97:X125" si="24">V97*(1+$X$19/100)</f>
        <v>6023.6564395835621</v>
      </c>
      <c r="Y97">
        <v>6980</v>
      </c>
      <c r="AH97" s="99">
        <v>77</v>
      </c>
      <c r="AI97" s="113" t="s">
        <v>4512</v>
      </c>
      <c r="AJ97" s="113">
        <v>1900000</v>
      </c>
      <c r="AK97" s="99">
        <v>3</v>
      </c>
      <c r="AL97" s="99">
        <f t="shared" si="22"/>
        <v>101</v>
      </c>
      <c r="AM97" s="117">
        <f t="shared" si="10"/>
        <v>191900000</v>
      </c>
      <c r="AN97" s="99"/>
    </row>
    <row r="98" spans="4:47">
      <c r="D98" s="2"/>
      <c r="E98" s="3"/>
      <c r="Q98" s="169">
        <v>100905</v>
      </c>
      <c r="R98" s="168" t="s">
        <v>4633</v>
      </c>
      <c r="S98" s="168">
        <f>S97-1</f>
        <v>119</v>
      </c>
      <c r="T98" s="168" t="s">
        <v>4639</v>
      </c>
      <c r="U98" s="168">
        <v>372</v>
      </c>
      <c r="V98" s="99">
        <f>U98*(1+$N$79+$Q$15*S98/36500)</f>
        <v>410.12541369863015</v>
      </c>
      <c r="W98" s="32">
        <f t="shared" si="23"/>
        <v>418.32792197260278</v>
      </c>
      <c r="X98" s="32">
        <f t="shared" si="24"/>
        <v>426.53043024657535</v>
      </c>
      <c r="Y98">
        <v>6963</v>
      </c>
      <c r="AH98" s="99">
        <v>78</v>
      </c>
      <c r="AI98" s="113" t="s">
        <v>4525</v>
      </c>
      <c r="AJ98" s="113">
        <v>6400000</v>
      </c>
      <c r="AK98" s="99">
        <v>1</v>
      </c>
      <c r="AL98" s="99">
        <f t="shared" si="22"/>
        <v>98</v>
      </c>
      <c r="AM98" s="117">
        <f t="shared" si="10"/>
        <v>627200000</v>
      </c>
      <c r="AN98" s="99"/>
    </row>
    <row r="99" spans="4:47">
      <c r="D99" s="2"/>
      <c r="E99" s="3"/>
      <c r="Q99" s="35">
        <v>48637534</v>
      </c>
      <c r="R99" s="5" t="s">
        <v>4633</v>
      </c>
      <c r="S99" s="5">
        <f>S98</f>
        <v>119</v>
      </c>
      <c r="T99" s="5" t="s">
        <v>4637</v>
      </c>
      <c r="U99" s="168">
        <v>5330</v>
      </c>
      <c r="V99" s="99">
        <f>U99*(1+$N$79+$Q$15*S99/36500)</f>
        <v>5876.2592876712333</v>
      </c>
      <c r="W99" s="32">
        <f t="shared" si="23"/>
        <v>5993.7844734246582</v>
      </c>
      <c r="X99" s="32">
        <f t="shared" si="24"/>
        <v>6111.3096591780832</v>
      </c>
      <c r="Y99" s="96">
        <v>0</v>
      </c>
      <c r="AH99" s="99">
        <v>79</v>
      </c>
      <c r="AI99" s="113" t="s">
        <v>4523</v>
      </c>
      <c r="AJ99" s="113">
        <v>5000</v>
      </c>
      <c r="AK99" s="99">
        <v>5</v>
      </c>
      <c r="AL99" s="99">
        <f t="shared" si="22"/>
        <v>97</v>
      </c>
      <c r="AM99" s="117">
        <f t="shared" si="10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214" t="s">
        <v>4702</v>
      </c>
      <c r="G100" s="214" t="s">
        <v>941</v>
      </c>
      <c r="H100" s="214" t="s">
        <v>4689</v>
      </c>
      <c r="I100" s="214" t="s">
        <v>4688</v>
      </c>
      <c r="J100" s="32" t="s">
        <v>4540</v>
      </c>
      <c r="K100" s="214" t="s">
        <v>4680</v>
      </c>
      <c r="L100" s="32" t="s">
        <v>4682</v>
      </c>
      <c r="M100" s="32" t="s">
        <v>4652</v>
      </c>
      <c r="N100" s="214" t="s">
        <v>4653</v>
      </c>
      <c r="Q100" s="35">
        <v>40048573</v>
      </c>
      <c r="R100" s="5" t="s">
        <v>4633</v>
      </c>
      <c r="S100" s="5">
        <f>S99</f>
        <v>119</v>
      </c>
      <c r="T100" s="5" t="s">
        <v>4638</v>
      </c>
      <c r="U100" s="168">
        <v>498.9</v>
      </c>
      <c r="V100" s="99">
        <f>U100*(1+$N$79+$Q$15*S100/36500)</f>
        <v>550.03109917808217</v>
      </c>
      <c r="W100" s="32">
        <f t="shared" si="23"/>
        <v>561.03172116164387</v>
      </c>
      <c r="X100" s="32">
        <f t="shared" si="24"/>
        <v>572.03234314520546</v>
      </c>
      <c r="Y100" s="96">
        <v>9904</v>
      </c>
      <c r="AH100" s="99">
        <v>80</v>
      </c>
      <c r="AI100" s="113" t="s">
        <v>4555</v>
      </c>
      <c r="AJ100" s="113">
        <v>-1750148</v>
      </c>
      <c r="AK100" s="99">
        <v>1</v>
      </c>
      <c r="AL100" s="99">
        <f t="shared" si="22"/>
        <v>92</v>
      </c>
      <c r="AM100" s="117">
        <f t="shared" si="10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200">
        <f>$L$108/G101</f>
        <v>24734.98233215548</v>
      </c>
      <c r="G101" s="200">
        <f>P47</f>
        <v>198.1</v>
      </c>
      <c r="H101" s="200" t="s">
        <v>4807</v>
      </c>
      <c r="I101" s="200" t="s">
        <v>4806</v>
      </c>
      <c r="J101" s="215" t="s">
        <v>4243</v>
      </c>
      <c r="K101" s="200">
        <v>70</v>
      </c>
      <c r="L101" s="216">
        <f>K101*$L$108</f>
        <v>343000000</v>
      </c>
      <c r="M101" s="216">
        <f>N21+N29+N47</f>
        <v>744477629</v>
      </c>
      <c r="N101" s="184">
        <f t="shared" ref="N101:N105" si="25">L101-M101</f>
        <v>-401477629</v>
      </c>
      <c r="Q101" s="35">
        <v>37856769</v>
      </c>
      <c r="R101" s="5" t="s">
        <v>4649</v>
      </c>
      <c r="S101" s="5">
        <f>S100-1</f>
        <v>118</v>
      </c>
      <c r="T101" s="5" t="s">
        <v>4651</v>
      </c>
      <c r="U101" s="168">
        <v>5393.6</v>
      </c>
      <c r="V101" s="99">
        <f>U101*(1+$N$79+$Q$15*S101/36500)</f>
        <v>5942.2399473972609</v>
      </c>
      <c r="W101" s="32">
        <f t="shared" si="23"/>
        <v>6061.0847463452064</v>
      </c>
      <c r="X101" s="32">
        <f t="shared" si="24"/>
        <v>6179.9295452931519</v>
      </c>
      <c r="Y101" s="96">
        <v>0</v>
      </c>
      <c r="AH101" s="99">
        <v>81</v>
      </c>
      <c r="AI101" s="113" t="s">
        <v>4558</v>
      </c>
      <c r="AJ101" s="113">
        <v>400000</v>
      </c>
      <c r="AK101" s="99">
        <v>0</v>
      </c>
      <c r="AL101" s="99">
        <f t="shared" si="22"/>
        <v>91</v>
      </c>
      <c r="AM101" s="117">
        <f t="shared" si="10"/>
        <v>36400000</v>
      </c>
      <c r="AN101" s="99"/>
    </row>
    <row r="102" spans="4:47">
      <c r="F102" s="214">
        <f>$L$108/G102</f>
        <v>1025.7054341455246</v>
      </c>
      <c r="G102" s="214">
        <f>P44</f>
        <v>4777.2</v>
      </c>
      <c r="H102" s="214" t="s">
        <v>5000</v>
      </c>
      <c r="I102" s="214" t="s">
        <v>5001</v>
      </c>
      <c r="J102" s="32" t="s">
        <v>4394</v>
      </c>
      <c r="K102" s="214">
        <v>44</v>
      </c>
      <c r="L102" s="1">
        <f>K102*$L$108</f>
        <v>215600000</v>
      </c>
      <c r="M102" s="1">
        <f>N24+N44+N27</f>
        <v>208338469.19999999</v>
      </c>
      <c r="N102" s="113">
        <f t="shared" si="25"/>
        <v>7261530.8000000119</v>
      </c>
      <c r="Q102" s="35">
        <v>155151</v>
      </c>
      <c r="R102" s="5" t="s">
        <v>4660</v>
      </c>
      <c r="S102" s="5">
        <f>S101-3</f>
        <v>115</v>
      </c>
      <c r="T102" s="5" t="s">
        <v>4662</v>
      </c>
      <c r="U102" s="168">
        <v>5325.9</v>
      </c>
      <c r="V102" s="99">
        <f>U102*(1+$N$79+$Q$15*S102/36500)</f>
        <v>5855.3966005479451</v>
      </c>
      <c r="W102" s="32">
        <f t="shared" si="23"/>
        <v>5972.5045325589044</v>
      </c>
      <c r="X102" s="32">
        <f t="shared" si="24"/>
        <v>6089.6124645698628</v>
      </c>
      <c r="Y102" s="96">
        <v>0</v>
      </c>
      <c r="AH102" s="99">
        <v>82</v>
      </c>
      <c r="AI102" s="113" t="s">
        <v>4558</v>
      </c>
      <c r="AJ102" s="113">
        <v>-2105421</v>
      </c>
      <c r="AK102" s="99">
        <v>1</v>
      </c>
      <c r="AL102" s="99">
        <f t="shared" si="22"/>
        <v>91</v>
      </c>
      <c r="AM102" s="117">
        <f t="shared" si="10"/>
        <v>-191593311</v>
      </c>
      <c r="AN102" s="99"/>
      <c r="AO102" t="s">
        <v>25</v>
      </c>
    </row>
    <row r="103" spans="4:47">
      <c r="F103" s="200">
        <v>0</v>
      </c>
      <c r="G103" s="200">
        <v>0</v>
      </c>
      <c r="H103" s="200" t="s">
        <v>3881</v>
      </c>
      <c r="I103" s="200" t="s">
        <v>4692</v>
      </c>
      <c r="J103" s="215" t="s">
        <v>4390</v>
      </c>
      <c r="K103" s="200">
        <v>56</v>
      </c>
      <c r="L103" s="216">
        <f>K103*$L$108</f>
        <v>274400000</v>
      </c>
      <c r="M103" s="216">
        <f>0</f>
        <v>0</v>
      </c>
      <c r="N103" s="184">
        <f t="shared" si="25"/>
        <v>274400000</v>
      </c>
      <c r="Q103" s="35">
        <v>8938737</v>
      </c>
      <c r="R103" s="5" t="s">
        <v>4665</v>
      </c>
      <c r="S103" s="5">
        <f>S102-1</f>
        <v>114</v>
      </c>
      <c r="T103" s="5" t="s">
        <v>4667</v>
      </c>
      <c r="U103" s="168">
        <v>5179.5</v>
      </c>
      <c r="V103" s="99">
        <f>U103*(1+$N$79+$Q$15*S103/36500)</f>
        <v>5690.4683178082196</v>
      </c>
      <c r="W103" s="32">
        <f t="shared" si="23"/>
        <v>5804.2776841643845</v>
      </c>
      <c r="X103" s="32">
        <f t="shared" si="24"/>
        <v>5918.0870505205485</v>
      </c>
      <c r="Y103" s="96">
        <v>10000</v>
      </c>
      <c r="AH103" s="99">
        <v>83</v>
      </c>
      <c r="AI103" s="113" t="s">
        <v>4561</v>
      </c>
      <c r="AJ103" s="113">
        <v>-5527618</v>
      </c>
      <c r="AK103" s="99">
        <v>0</v>
      </c>
      <c r="AL103" s="99">
        <f t="shared" si="22"/>
        <v>90</v>
      </c>
      <c r="AM103" s="117">
        <f t="shared" si="10"/>
        <v>-497485620</v>
      </c>
      <c r="AN103" s="99"/>
    </row>
    <row r="104" spans="4:47">
      <c r="F104" s="214">
        <f>$L$108/G104</f>
        <v>6949.3688838462631</v>
      </c>
      <c r="G104" s="214">
        <f>P46</f>
        <v>705.1</v>
      </c>
      <c r="H104" s="214" t="s">
        <v>4691</v>
      </c>
      <c r="I104" s="214" t="s">
        <v>4690</v>
      </c>
      <c r="J104" s="32" t="s">
        <v>4409</v>
      </c>
      <c r="K104" s="214">
        <v>40</v>
      </c>
      <c r="L104" s="1">
        <f>K104*$L$108</f>
        <v>196000000</v>
      </c>
      <c r="M104" s="1">
        <f>N46+N22</f>
        <v>187649673.19999999</v>
      </c>
      <c r="N104" s="113">
        <f t="shared" si="25"/>
        <v>8350326.8000000119</v>
      </c>
      <c r="Q104" s="35">
        <v>2595417</v>
      </c>
      <c r="R104" s="5" t="s">
        <v>4675</v>
      </c>
      <c r="S104" s="5">
        <f>S103-1</f>
        <v>113</v>
      </c>
      <c r="T104" s="5" t="s">
        <v>4676</v>
      </c>
      <c r="U104" s="168">
        <v>4803</v>
      </c>
      <c r="V104" s="99">
        <f>U104*(1+$N$79+$Q$15*S104/36500)</f>
        <v>5273.1413260273985</v>
      </c>
      <c r="W104" s="32">
        <f t="shared" si="23"/>
        <v>5378.6041525479468</v>
      </c>
      <c r="X104" s="32">
        <f t="shared" si="24"/>
        <v>5484.0669790684942</v>
      </c>
      <c r="Y104" s="96">
        <v>5664</v>
      </c>
      <c r="AH104" s="99">
        <v>84</v>
      </c>
      <c r="AI104" s="113" t="s">
        <v>4561</v>
      </c>
      <c r="AJ104" s="113">
        <v>3900000</v>
      </c>
      <c r="AK104" s="99">
        <v>3</v>
      </c>
      <c r="AL104" s="99">
        <f t="shared" si="22"/>
        <v>90</v>
      </c>
      <c r="AM104" s="117">
        <f t="shared" si="10"/>
        <v>351000000</v>
      </c>
      <c r="AN104" s="99"/>
    </row>
    <row r="105" spans="4:47">
      <c r="F105" s="200"/>
      <c r="G105" s="200"/>
      <c r="H105" s="200"/>
      <c r="I105" s="200"/>
      <c r="J105" s="215" t="s">
        <v>4664</v>
      </c>
      <c r="K105" s="200">
        <v>1</v>
      </c>
      <c r="L105" s="216">
        <f>K105*$L$108</f>
        <v>4900000</v>
      </c>
      <c r="M105" s="216">
        <f>N42+N43</f>
        <v>929010</v>
      </c>
      <c r="N105" s="184">
        <f t="shared" si="25"/>
        <v>3970990</v>
      </c>
      <c r="Q105" s="169">
        <v>183283</v>
      </c>
      <c r="R105" s="211" t="s">
        <v>4678</v>
      </c>
      <c r="S105" s="211">
        <f>S104-1</f>
        <v>112</v>
      </c>
      <c r="T105" s="211" t="s">
        <v>4686</v>
      </c>
      <c r="U105" s="211">
        <v>347.5</v>
      </c>
      <c r="V105" s="99">
        <f>U105*(1+$N$79+$Q$15*S105/36500)</f>
        <v>381.2484383561644</v>
      </c>
      <c r="W105" s="32">
        <f t="shared" si="23"/>
        <v>388.87340712328768</v>
      </c>
      <c r="X105" s="32">
        <f t="shared" si="24"/>
        <v>396.49837589041101</v>
      </c>
      <c r="Y105" s="96">
        <v>10000</v>
      </c>
      <c r="AH105" s="99">
        <v>85</v>
      </c>
      <c r="AI105" s="113" t="s">
        <v>4562</v>
      </c>
      <c r="AJ105" s="113">
        <v>-3969754</v>
      </c>
      <c r="AK105" s="99">
        <v>1</v>
      </c>
      <c r="AL105" s="99">
        <f t="shared" si="22"/>
        <v>87</v>
      </c>
      <c r="AM105" s="117">
        <f t="shared" si="10"/>
        <v>-345368598</v>
      </c>
      <c r="AN105" s="99"/>
    </row>
    <row r="106" spans="4:47">
      <c r="F106" s="214"/>
      <c r="G106" s="214"/>
      <c r="H106" s="214"/>
      <c r="I106" s="214"/>
      <c r="J106" s="32" t="s">
        <v>4778</v>
      </c>
      <c r="K106" s="214"/>
      <c r="L106" s="1"/>
      <c r="M106" s="1"/>
      <c r="N106" s="113">
        <v>50000000</v>
      </c>
      <c r="Q106" s="35">
        <v>559461</v>
      </c>
      <c r="R106" s="5" t="s">
        <v>4678</v>
      </c>
      <c r="S106" s="5">
        <f>S105</f>
        <v>112</v>
      </c>
      <c r="T106" s="5" t="s">
        <v>4685</v>
      </c>
      <c r="U106" s="211">
        <v>508.1</v>
      </c>
      <c r="V106" s="99">
        <f>U106*(1+$N$79+$Q$15*S106/36500)</f>
        <v>557.4455583561645</v>
      </c>
      <c r="W106" s="32">
        <f t="shared" si="23"/>
        <v>568.59446952328778</v>
      </c>
      <c r="X106" s="32">
        <f t="shared" si="24"/>
        <v>579.74338069041107</v>
      </c>
      <c r="Y106" s="96">
        <v>8695</v>
      </c>
      <c r="AH106" s="99">
        <v>86</v>
      </c>
      <c r="AI106" s="113" t="s">
        <v>4573</v>
      </c>
      <c r="AJ106" s="113">
        <v>-25574455</v>
      </c>
      <c r="AK106" s="99">
        <v>0</v>
      </c>
      <c r="AL106" s="99">
        <f t="shared" si="22"/>
        <v>86</v>
      </c>
      <c r="AM106" s="117">
        <f t="shared" si="10"/>
        <v>-2199403130</v>
      </c>
      <c r="AN106" s="99"/>
      <c r="AP106" t="s">
        <v>25</v>
      </c>
    </row>
    <row r="107" spans="4:47">
      <c r="F107" s="200"/>
      <c r="G107" s="200"/>
      <c r="H107" s="200"/>
      <c r="I107" s="200"/>
      <c r="J107" s="215" t="s">
        <v>4897</v>
      </c>
      <c r="K107" s="200">
        <f>SUM(K101:K105)</f>
        <v>211</v>
      </c>
      <c r="L107" s="216"/>
      <c r="M107" s="216"/>
      <c r="N107" s="184"/>
      <c r="Q107" s="35">
        <v>622942</v>
      </c>
      <c r="R107" s="5" t="s">
        <v>4693</v>
      </c>
      <c r="S107" s="5">
        <f>S106-1</f>
        <v>111</v>
      </c>
      <c r="T107" s="5" t="s">
        <v>4694</v>
      </c>
      <c r="U107" s="211">
        <v>503.3</v>
      </c>
      <c r="V107" s="99">
        <f>U107*(1+$N$79+$Q$15*S107/36500)</f>
        <v>551.7932997260275</v>
      </c>
      <c r="W107" s="32">
        <f t="shared" si="23"/>
        <v>562.82916572054808</v>
      </c>
      <c r="X107" s="32">
        <f t="shared" si="24"/>
        <v>573.86503171506865</v>
      </c>
      <c r="Y107" s="96"/>
      <c r="AH107" s="99">
        <v>87</v>
      </c>
      <c r="AI107" s="113" t="s">
        <v>4573</v>
      </c>
      <c r="AJ107" s="113">
        <v>4000000</v>
      </c>
      <c r="AK107" s="99">
        <v>1</v>
      </c>
      <c r="AL107" s="99">
        <f t="shared" si="22"/>
        <v>86</v>
      </c>
      <c r="AM107" s="117">
        <f t="shared" si="10"/>
        <v>344000000</v>
      </c>
      <c r="AN107" s="99"/>
    </row>
    <row r="108" spans="4:47">
      <c r="F108" s="214"/>
      <c r="G108" s="214"/>
      <c r="H108" s="214" t="s">
        <v>25</v>
      </c>
      <c r="I108" s="214"/>
      <c r="J108" s="32"/>
      <c r="K108" s="214">
        <v>8</v>
      </c>
      <c r="L108" s="39">
        <f>10*P48</f>
        <v>4900000</v>
      </c>
      <c r="M108" s="1">
        <f>K108*L108</f>
        <v>39200000</v>
      </c>
      <c r="N108" s="113">
        <f>SUM(N101:N106)-M108</f>
        <v>-96694781.399999976</v>
      </c>
      <c r="Q108" s="35">
        <v>1472140</v>
      </c>
      <c r="R108" s="5" t="s">
        <v>4699</v>
      </c>
      <c r="S108" s="5">
        <f>S107-3</f>
        <v>108</v>
      </c>
      <c r="T108" s="5" t="s">
        <v>4701</v>
      </c>
      <c r="U108" s="168">
        <v>502</v>
      </c>
      <c r="V108" s="99">
        <f>U108*(1+$N$79+$Q$15*S108/36500)</f>
        <v>549.21275616438368</v>
      </c>
      <c r="W108" s="32">
        <f t="shared" si="23"/>
        <v>560.19701128767133</v>
      </c>
      <c r="X108" s="32">
        <f t="shared" si="24"/>
        <v>571.1812664109591</v>
      </c>
      <c r="Y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2"/>
        <v>85</v>
      </c>
      <c r="AM108" s="117">
        <f t="shared" si="10"/>
        <v>-425000000</v>
      </c>
      <c r="AN108" s="99"/>
    </row>
    <row r="109" spans="4:47">
      <c r="F109" s="200"/>
      <c r="G109" s="200"/>
      <c r="H109" s="200"/>
      <c r="I109" s="200"/>
      <c r="J109" s="215"/>
      <c r="K109" s="246" t="s">
        <v>4918</v>
      </c>
      <c r="L109" s="216" t="s">
        <v>4253</v>
      </c>
      <c r="M109" s="216" t="s">
        <v>4673</v>
      </c>
      <c r="N109" s="184" t="s">
        <v>4674</v>
      </c>
      <c r="P109" s="114"/>
      <c r="Q109" s="35">
        <v>4394591</v>
      </c>
      <c r="R109" s="5" t="s">
        <v>4703</v>
      </c>
      <c r="S109" s="5">
        <f>S108-1</f>
        <v>107</v>
      </c>
      <c r="T109" s="5" t="s">
        <v>4704</v>
      </c>
      <c r="U109" s="168">
        <v>481.7</v>
      </c>
      <c r="V109" s="99">
        <f>U109*(1+$N$79+$Q$15*S109/36500)</f>
        <v>526.63403178082194</v>
      </c>
      <c r="W109" s="32">
        <f t="shared" si="23"/>
        <v>537.16671241643837</v>
      </c>
      <c r="X109" s="32">
        <f t="shared" si="24"/>
        <v>547.6993930520548</v>
      </c>
      <c r="Y109" s="96"/>
      <c r="AD109" s="96"/>
      <c r="AE109"/>
      <c r="AF109"/>
      <c r="AH109" s="99">
        <v>89</v>
      </c>
      <c r="AI109" s="113" t="s">
        <v>4578</v>
      </c>
      <c r="AJ109" s="113">
        <v>10000000</v>
      </c>
      <c r="AK109" s="99">
        <v>4</v>
      </c>
      <c r="AL109" s="99">
        <f t="shared" si="22"/>
        <v>83</v>
      </c>
      <c r="AM109" s="117">
        <f t="shared" si="10"/>
        <v>830000000</v>
      </c>
      <c r="AN109" s="99"/>
    </row>
    <row r="110" spans="4:47">
      <c r="F110" s="214"/>
      <c r="G110" s="214"/>
      <c r="H110" s="214"/>
      <c r="I110" s="214"/>
      <c r="J110" s="32" t="s">
        <v>4681</v>
      </c>
      <c r="K110" s="214"/>
      <c r="L110" s="1"/>
      <c r="M110" s="1"/>
      <c r="N110" s="113"/>
      <c r="Q110" s="117">
        <v>5924703</v>
      </c>
      <c r="R110" s="19" t="s">
        <v>4727</v>
      </c>
      <c r="S110" s="19">
        <f>S109-13</f>
        <v>94</v>
      </c>
      <c r="T110" s="19" t="s">
        <v>4808</v>
      </c>
      <c r="U110" s="214">
        <v>489</v>
      </c>
      <c r="V110" s="99">
        <f>U110*(1+$N$79+$Q$15*S110/36500)</f>
        <v>529.73838904109596</v>
      </c>
      <c r="W110" s="32">
        <f t="shared" si="23"/>
        <v>540.3331568219179</v>
      </c>
      <c r="X110" s="32">
        <f t="shared" si="24"/>
        <v>550.92792460273984</v>
      </c>
      <c r="AH110" s="99">
        <v>90</v>
      </c>
      <c r="AI110" s="113" t="s">
        <v>4580</v>
      </c>
      <c r="AJ110" s="113">
        <v>-5241937</v>
      </c>
      <c r="AK110" s="99">
        <v>0</v>
      </c>
      <c r="AL110" s="99">
        <f t="shared" si="22"/>
        <v>79</v>
      </c>
      <c r="AM110" s="117">
        <f t="shared" si="10"/>
        <v>-414113023</v>
      </c>
      <c r="AN110" s="99"/>
    </row>
    <row r="111" spans="4:47">
      <c r="M111" t="s">
        <v>25</v>
      </c>
      <c r="Q111" s="117">
        <v>24695044</v>
      </c>
      <c r="R111" s="19" t="s">
        <v>4774</v>
      </c>
      <c r="S111" s="19">
        <f>S110-10</f>
        <v>84</v>
      </c>
      <c r="T111" s="19" t="s">
        <v>4777</v>
      </c>
      <c r="U111" s="214">
        <v>5249.5</v>
      </c>
      <c r="V111" s="99">
        <f>U111*(1+$N$79+$Q$15*S111/36500)</f>
        <v>5646.5635506849321</v>
      </c>
      <c r="W111" s="32">
        <f t="shared" si="23"/>
        <v>5759.4948216986313</v>
      </c>
      <c r="X111" s="32">
        <f t="shared" si="24"/>
        <v>5872.4260927123296</v>
      </c>
      <c r="AH111" s="99">
        <v>91</v>
      </c>
      <c r="AI111" s="113" t="s">
        <v>4580</v>
      </c>
      <c r="AJ111" s="113">
        <v>21900000</v>
      </c>
      <c r="AK111" s="99">
        <v>2</v>
      </c>
      <c r="AL111" s="99">
        <f t="shared" si="22"/>
        <v>79</v>
      </c>
      <c r="AM111" s="117">
        <f t="shared" si="10"/>
        <v>1730100000</v>
      </c>
      <c r="AN111" s="99"/>
      <c r="AP111" t="s">
        <v>25</v>
      </c>
      <c r="AU111"/>
    </row>
    <row r="112" spans="4:47">
      <c r="Q112" s="117">
        <v>5416530</v>
      </c>
      <c r="R112" s="19" t="s">
        <v>4783</v>
      </c>
      <c r="S112" s="19">
        <f>S111-1</f>
        <v>83</v>
      </c>
      <c r="T112" s="19" t="s">
        <v>4841</v>
      </c>
      <c r="U112" s="214">
        <v>5235</v>
      </c>
      <c r="V112" s="99">
        <f>U112*(1+$N$79+$Q$15*S112/36500)</f>
        <v>5626.9509041095898</v>
      </c>
      <c r="W112" s="32">
        <f t="shared" si="23"/>
        <v>5739.4899221917822</v>
      </c>
      <c r="X112" s="32">
        <f t="shared" si="24"/>
        <v>5852.0289402739736</v>
      </c>
      <c r="Y112">
        <v>13000</v>
      </c>
      <c r="AH112" s="99">
        <v>92</v>
      </c>
      <c r="AI112" s="113" t="s">
        <v>4590</v>
      </c>
      <c r="AJ112" s="113">
        <v>-15000000</v>
      </c>
      <c r="AK112" s="99">
        <v>0</v>
      </c>
      <c r="AL112" s="99">
        <f t="shared" si="22"/>
        <v>77</v>
      </c>
      <c r="AM112" s="117">
        <f t="shared" si="10"/>
        <v>-1155000000</v>
      </c>
      <c r="AN112" s="99"/>
      <c r="AO112" t="s">
        <v>25</v>
      </c>
    </row>
    <row r="113" spans="6:46">
      <c r="K113" s="168" t="s">
        <v>4540</v>
      </c>
      <c r="L113" s="168" t="s">
        <v>4541</v>
      </c>
      <c r="M113" s="168" t="s">
        <v>4435</v>
      </c>
      <c r="N113" s="56" t="s">
        <v>190</v>
      </c>
      <c r="P113" s="114"/>
      <c r="Q113" s="117">
        <v>153812</v>
      </c>
      <c r="R113" s="19" t="s">
        <v>4814</v>
      </c>
      <c r="S113" s="19">
        <f>S112-6</f>
        <v>77</v>
      </c>
      <c r="T113" s="19" t="s">
        <v>4815</v>
      </c>
      <c r="U113" s="214">
        <v>537.20000000000005</v>
      </c>
      <c r="V113" s="99">
        <f>U113*(1+$N$79+$Q$15*S113/36500)</f>
        <v>574.948234520548</v>
      </c>
      <c r="W113" s="32">
        <f t="shared" si="23"/>
        <v>586.44719921095896</v>
      </c>
      <c r="X113" s="32">
        <f t="shared" si="24"/>
        <v>597.94616390136991</v>
      </c>
      <c r="Y113" t="s">
        <v>25</v>
      </c>
      <c r="AH113" s="99">
        <v>93</v>
      </c>
      <c r="AI113" s="113" t="s">
        <v>4590</v>
      </c>
      <c r="AJ113" s="113">
        <v>3000000</v>
      </c>
      <c r="AK113" s="99">
        <v>1</v>
      </c>
      <c r="AL113" s="99">
        <f t="shared" si="22"/>
        <v>77</v>
      </c>
      <c r="AM113" s="117">
        <f t="shared" si="10"/>
        <v>231000000</v>
      </c>
      <c r="AN113" s="99"/>
      <c r="AR113" s="96"/>
      <c r="AS113" s="96"/>
      <c r="AT113"/>
    </row>
    <row r="114" spans="6:46">
      <c r="K114" s="168" t="s">
        <v>4243</v>
      </c>
      <c r="L114" s="169">
        <v>1100000</v>
      </c>
      <c r="M114" s="169">
        <v>1637000</v>
      </c>
      <c r="N114" s="168">
        <f t="shared" ref="N114:N122" si="26">(M114-L114)*100/L114</f>
        <v>48.81818181818182</v>
      </c>
      <c r="Q114" s="117">
        <v>10926171</v>
      </c>
      <c r="R114" s="19" t="s">
        <v>4843</v>
      </c>
      <c r="S114" s="19">
        <f>S113-6</f>
        <v>71</v>
      </c>
      <c r="T114" s="19" t="s">
        <v>4845</v>
      </c>
      <c r="U114" s="214">
        <v>5355.4</v>
      </c>
      <c r="V114" s="99">
        <f>U114*(1+$N$79+$Q$15*S114/36500)</f>
        <v>5707.0663758904111</v>
      </c>
      <c r="W114" s="32">
        <f t="shared" si="23"/>
        <v>5821.2077034082195</v>
      </c>
      <c r="X114" s="32">
        <f t="shared" si="24"/>
        <v>5935.3490309260278</v>
      </c>
      <c r="Y114" t="s">
        <v>25</v>
      </c>
      <c r="AH114" s="99">
        <v>94</v>
      </c>
      <c r="AI114" s="113" t="s">
        <v>4594</v>
      </c>
      <c r="AJ114" s="113">
        <v>-2103736</v>
      </c>
      <c r="AK114" s="99">
        <v>0</v>
      </c>
      <c r="AL114" s="99">
        <f t="shared" si="22"/>
        <v>76</v>
      </c>
      <c r="AM114" s="117">
        <f t="shared" si="10"/>
        <v>-159883936</v>
      </c>
      <c r="AN114" s="99"/>
    </row>
    <row r="115" spans="6:46">
      <c r="F115" s="214"/>
      <c r="G115" s="214"/>
      <c r="H115" s="214"/>
      <c r="I115" s="214"/>
      <c r="J115" s="214" t="s">
        <v>4905</v>
      </c>
      <c r="K115" s="5" t="s">
        <v>4535</v>
      </c>
      <c r="L115" s="169">
        <v>1100000</v>
      </c>
      <c r="M115" s="169">
        <v>4748000</v>
      </c>
      <c r="N115" s="168">
        <f t="shared" si="26"/>
        <v>331.63636363636363</v>
      </c>
      <c r="Q115" s="169">
        <v>26970108</v>
      </c>
      <c r="R115" s="214" t="s">
        <v>4908</v>
      </c>
      <c r="S115" s="214">
        <f>S114-28</f>
        <v>43</v>
      </c>
      <c r="T115" s="214" t="s">
        <v>4916</v>
      </c>
      <c r="U115" s="214">
        <v>6110.2</v>
      </c>
      <c r="V115" s="99">
        <f>U115*(1+$N$79+$Q$15*S115/36500)</f>
        <v>6380.1871386301373</v>
      </c>
      <c r="W115" s="32">
        <f t="shared" si="23"/>
        <v>6507.7908814027405</v>
      </c>
      <c r="X115" s="32">
        <f t="shared" si="24"/>
        <v>6635.3946241753429</v>
      </c>
      <c r="AH115" s="99">
        <v>95</v>
      </c>
      <c r="AI115" s="113" t="s">
        <v>4594</v>
      </c>
      <c r="AJ115" s="113">
        <v>220000</v>
      </c>
      <c r="AK115" s="99">
        <v>3</v>
      </c>
      <c r="AL115" s="99">
        <f t="shared" si="22"/>
        <v>76</v>
      </c>
      <c r="AM115" s="117">
        <f t="shared" si="10"/>
        <v>16720000</v>
      </c>
      <c r="AN115" s="99"/>
    </row>
    <row r="116" spans="6:46">
      <c r="F116" s="214" t="s">
        <v>4363</v>
      </c>
      <c r="G116" s="214" t="s">
        <v>941</v>
      </c>
      <c r="H116" s="214" t="s">
        <v>4540</v>
      </c>
      <c r="I116" s="214" t="s">
        <v>937</v>
      </c>
      <c r="J116" s="214" t="s">
        <v>4775</v>
      </c>
      <c r="K116" s="5" t="s">
        <v>4536</v>
      </c>
      <c r="L116" s="169">
        <v>1100000</v>
      </c>
      <c r="M116" s="169">
        <v>5137000</v>
      </c>
      <c r="N116" s="168">
        <f t="shared" si="26"/>
        <v>367</v>
      </c>
      <c r="Q116" s="169">
        <v>6150141</v>
      </c>
      <c r="R116" s="214" t="s">
        <v>4908</v>
      </c>
      <c r="S116" s="214">
        <f>S115</f>
        <v>43</v>
      </c>
      <c r="T116" s="214" t="s">
        <v>4917</v>
      </c>
      <c r="U116" s="214">
        <v>180.6</v>
      </c>
      <c r="V116" s="99">
        <f>U116*(1+$N$79+$Q$15*S116/36500)</f>
        <v>188.58004602739729</v>
      </c>
      <c r="W116" s="32">
        <f t="shared" si="23"/>
        <v>192.35164694794523</v>
      </c>
      <c r="X116" s="32">
        <f t="shared" si="24"/>
        <v>196.12324786849319</v>
      </c>
      <c r="Y116">
        <v>23000</v>
      </c>
      <c r="AH116" s="99">
        <v>96</v>
      </c>
      <c r="AI116" s="113" t="s">
        <v>4603</v>
      </c>
      <c r="AJ116" s="113">
        <v>4000000</v>
      </c>
      <c r="AK116" s="99">
        <v>1</v>
      </c>
      <c r="AL116" s="99">
        <f t="shared" si="22"/>
        <v>73</v>
      </c>
      <c r="AM116" s="117">
        <f t="shared" si="10"/>
        <v>292000000</v>
      </c>
      <c r="AN116" s="99"/>
    </row>
    <row r="117" spans="6:46">
      <c r="F117" s="1">
        <v>3775.1</v>
      </c>
      <c r="G117" s="1">
        <v>4200</v>
      </c>
      <c r="H117" s="214" t="s">
        <v>4390</v>
      </c>
      <c r="I117" s="214">
        <v>1000</v>
      </c>
      <c r="J117" s="1">
        <f>I117*G117</f>
        <v>4200000</v>
      </c>
      <c r="K117" s="19" t="s">
        <v>4390</v>
      </c>
      <c r="L117" s="169">
        <v>1100000</v>
      </c>
      <c r="M117" s="169">
        <v>4300000</v>
      </c>
      <c r="N117" s="168">
        <f t="shared" si="26"/>
        <v>290.90909090909093</v>
      </c>
      <c r="Q117" s="169">
        <v>162112</v>
      </c>
      <c r="R117" s="214" t="s">
        <v>4931</v>
      </c>
      <c r="S117" s="214">
        <f>S116-7</f>
        <v>36</v>
      </c>
      <c r="T117" s="214" t="s">
        <v>4933</v>
      </c>
      <c r="U117" s="214">
        <v>632.79999999999995</v>
      </c>
      <c r="V117" s="99">
        <f>U117*(1+$N$79+$Q$15*S117/36500)</f>
        <v>657.36304219178078</v>
      </c>
      <c r="W117" s="32">
        <f t="shared" si="23"/>
        <v>670.5103030356164</v>
      </c>
      <c r="X117" s="32">
        <f t="shared" si="24"/>
        <v>683.65756387945203</v>
      </c>
      <c r="Y117">
        <v>6000</v>
      </c>
      <c r="AH117" s="99">
        <v>97</v>
      </c>
      <c r="AI117" s="113" t="s">
        <v>4608</v>
      </c>
      <c r="AJ117" s="113">
        <v>-9000000</v>
      </c>
      <c r="AK117" s="99">
        <v>0</v>
      </c>
      <c r="AL117" s="99">
        <f t="shared" si="22"/>
        <v>72</v>
      </c>
      <c r="AM117" s="117">
        <f t="shared" si="10"/>
        <v>-648000000</v>
      </c>
      <c r="AN117" s="99"/>
      <c r="AP117" t="s">
        <v>25</v>
      </c>
      <c r="AQ117" t="s">
        <v>25</v>
      </c>
    </row>
    <row r="118" spans="6:46">
      <c r="F118" s="1">
        <v>6250.1</v>
      </c>
      <c r="G118" s="1">
        <f>P44</f>
        <v>4777.2</v>
      </c>
      <c r="H118" s="214" t="s">
        <v>4906</v>
      </c>
      <c r="I118" s="214">
        <v>1000</v>
      </c>
      <c r="J118" s="1">
        <f t="shared" ref="J118:J120" si="27">I118*G118</f>
        <v>4777200</v>
      </c>
      <c r="K118" s="5" t="s">
        <v>4409</v>
      </c>
      <c r="L118" s="169">
        <v>1100000</v>
      </c>
      <c r="M118" s="169">
        <v>3191000</v>
      </c>
      <c r="N118" s="168">
        <f t="shared" si="26"/>
        <v>190.09090909090909</v>
      </c>
      <c r="P118" s="114"/>
      <c r="Q118" s="169">
        <v>1399908</v>
      </c>
      <c r="R118" s="214" t="s">
        <v>4986</v>
      </c>
      <c r="S118" s="214">
        <f>S117-13</f>
        <v>23</v>
      </c>
      <c r="T118" s="214" t="s">
        <v>4987</v>
      </c>
      <c r="U118" s="214">
        <v>194</v>
      </c>
      <c r="V118" s="99">
        <f>U118*(1+$N$79+$Q$15*S118/36500)</f>
        <v>199.59570410958906</v>
      </c>
      <c r="W118" s="32">
        <f t="shared" si="23"/>
        <v>203.58761819178085</v>
      </c>
      <c r="X118" s="32">
        <f t="shared" si="24"/>
        <v>207.57953227397263</v>
      </c>
      <c r="AH118" s="99">
        <v>98</v>
      </c>
      <c r="AI118" s="113" t="s">
        <v>4608</v>
      </c>
      <c r="AJ118" s="113">
        <v>13900000</v>
      </c>
      <c r="AK118" s="99">
        <v>2</v>
      </c>
      <c r="AL118" s="99">
        <f t="shared" si="22"/>
        <v>72</v>
      </c>
      <c r="AM118" s="117">
        <f t="shared" si="10"/>
        <v>1000800000</v>
      </c>
      <c r="AN118" s="99"/>
    </row>
    <row r="119" spans="6:46">
      <c r="F119" s="1">
        <v>183</v>
      </c>
      <c r="G119" s="1">
        <f>P47</f>
        <v>198.1</v>
      </c>
      <c r="H119" s="214" t="s">
        <v>4243</v>
      </c>
      <c r="I119" s="214">
        <v>108344</v>
      </c>
      <c r="J119" s="1">
        <f t="shared" si="27"/>
        <v>21462946.399999999</v>
      </c>
      <c r="K119" s="5" t="s">
        <v>4537</v>
      </c>
      <c r="L119" s="169">
        <v>1100000</v>
      </c>
      <c r="M119" s="169">
        <v>5623000</v>
      </c>
      <c r="N119" s="168">
        <f t="shared" si="26"/>
        <v>411.18181818181819</v>
      </c>
      <c r="Q119" s="169">
        <v>1204033</v>
      </c>
      <c r="R119" s="214" t="s">
        <v>4996</v>
      </c>
      <c r="S119" s="214">
        <f>S118-7</f>
        <v>16</v>
      </c>
      <c r="T119" s="214" t="s">
        <v>4999</v>
      </c>
      <c r="U119" s="214">
        <v>218.5</v>
      </c>
      <c r="V119" s="99">
        <f>U119*(1+$N$79+$Q$15*S119/36500)</f>
        <v>223.62906301369864</v>
      </c>
      <c r="W119" s="32">
        <f t="shared" si="23"/>
        <v>228.10164427397262</v>
      </c>
      <c r="X119" s="32">
        <f t="shared" si="24"/>
        <v>232.57422553424661</v>
      </c>
      <c r="Y119">
        <v>3300</v>
      </c>
      <c r="AH119" s="99">
        <v>99</v>
      </c>
      <c r="AI119" s="113" t="s">
        <v>4617</v>
      </c>
      <c r="AJ119" s="113">
        <v>-8127577</v>
      </c>
      <c r="AK119" s="99">
        <v>1</v>
      </c>
      <c r="AL119" s="99">
        <f t="shared" si="22"/>
        <v>70</v>
      </c>
      <c r="AM119" s="117">
        <f t="shared" si="10"/>
        <v>-568930390</v>
      </c>
      <c r="AN119" s="99"/>
      <c r="AO119" t="s">
        <v>25</v>
      </c>
    </row>
    <row r="120" spans="6:46">
      <c r="F120" s="1">
        <v>4485.1000000000004</v>
      </c>
      <c r="G120" s="1">
        <v>5200</v>
      </c>
      <c r="H120" s="214" t="s">
        <v>4537</v>
      </c>
      <c r="I120" s="214">
        <v>3</v>
      </c>
      <c r="J120" s="1">
        <f t="shared" si="27"/>
        <v>15600</v>
      </c>
      <c r="K120" s="19" t="s">
        <v>4394</v>
      </c>
      <c r="L120" s="169">
        <v>1100000</v>
      </c>
      <c r="M120" s="169">
        <v>7728000</v>
      </c>
      <c r="N120" s="168">
        <f t="shared" si="26"/>
        <v>602.5454545454545</v>
      </c>
      <c r="Q120" s="169">
        <v>8382674</v>
      </c>
      <c r="R120" s="214" t="s">
        <v>5007</v>
      </c>
      <c r="S120" s="214">
        <f>S119-7</f>
        <v>9</v>
      </c>
      <c r="T120" s="214" t="s">
        <v>5013</v>
      </c>
      <c r="U120" s="214">
        <v>192</v>
      </c>
      <c r="V120" s="99">
        <f>U120*(1+$N$79+$Q$15*S120/36500)</f>
        <v>195.47598904109594</v>
      </c>
      <c r="W120" s="32">
        <f t="shared" si="23"/>
        <v>199.38550882191785</v>
      </c>
      <c r="X120" s="32">
        <f t="shared" si="24"/>
        <v>203.29502860273979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2"/>
        <v>69</v>
      </c>
      <c r="AM120" s="117">
        <f t="shared" si="10"/>
        <v>1089685881</v>
      </c>
      <c r="AN120" s="99"/>
      <c r="AO120" t="s">
        <v>25</v>
      </c>
      <c r="AP120" t="s">
        <v>25</v>
      </c>
    </row>
    <row r="121" spans="6:46">
      <c r="F121" s="214"/>
      <c r="G121" s="214"/>
      <c r="H121" s="214"/>
      <c r="I121" s="214"/>
      <c r="J121" s="1">
        <f>SUM(J117:J120)</f>
        <v>30455746.399999999</v>
      </c>
      <c r="K121" s="5" t="s">
        <v>4539</v>
      </c>
      <c r="L121" s="169">
        <v>1100000</v>
      </c>
      <c r="M121" s="169">
        <v>2904000</v>
      </c>
      <c r="N121" s="168">
        <f t="shared" si="26"/>
        <v>164</v>
      </c>
      <c r="Q121" s="169">
        <v>190884649</v>
      </c>
      <c r="R121" s="214" t="s">
        <v>5033</v>
      </c>
      <c r="S121" s="214">
        <f>S120-9</f>
        <v>0</v>
      </c>
      <c r="T121" s="214" t="s">
        <v>5036</v>
      </c>
      <c r="U121" s="214">
        <v>193.6</v>
      </c>
      <c r="V121" s="99">
        <f>U121*(1+$N$79+$Q$15*S121/36500)</f>
        <v>195.76832000000002</v>
      </c>
      <c r="W121" s="32">
        <f t="shared" si="23"/>
        <v>199.68368640000003</v>
      </c>
      <c r="X121" s="32">
        <f t="shared" si="24"/>
        <v>203.59905280000004</v>
      </c>
      <c r="AH121" s="99">
        <v>101</v>
      </c>
      <c r="AI121" s="113" t="s">
        <v>4622</v>
      </c>
      <c r="AJ121" s="113">
        <v>8800000</v>
      </c>
      <c r="AK121" s="99">
        <v>0</v>
      </c>
      <c r="AL121" s="99">
        <f t="shared" ref="AL121:AL125" si="28">AL122+AK121</f>
        <v>66</v>
      </c>
      <c r="AM121" s="117">
        <f t="shared" ref="AM121:AM164" si="29">AJ121*AL121</f>
        <v>580800000</v>
      </c>
      <c r="AN121" s="99"/>
      <c r="AP121" t="s">
        <v>25</v>
      </c>
    </row>
    <row r="122" spans="6:46" ht="45">
      <c r="F122" s="214"/>
      <c r="G122" s="214"/>
      <c r="H122" s="214"/>
      <c r="I122" s="214"/>
      <c r="J122" s="214" t="s">
        <v>6</v>
      </c>
      <c r="K122" s="56" t="s">
        <v>1086</v>
      </c>
      <c r="L122" s="169">
        <v>1100000</v>
      </c>
      <c r="M122" s="169">
        <v>3400000</v>
      </c>
      <c r="N122" s="168">
        <f t="shared" si="26"/>
        <v>209.09090909090909</v>
      </c>
      <c r="Q122" s="169">
        <v>2099962</v>
      </c>
      <c r="R122" s="214" t="s">
        <v>5035</v>
      </c>
      <c r="S122" s="214">
        <f>S121-1</f>
        <v>-1</v>
      </c>
      <c r="T122" s="214" t="s">
        <v>5042</v>
      </c>
      <c r="U122" s="214">
        <v>196.5</v>
      </c>
      <c r="V122" s="99">
        <f>U122*(1+$N$79+$Q$15*S122/36500)</f>
        <v>198.55006027397263</v>
      </c>
      <c r="W122" s="32">
        <f t="shared" si="23"/>
        <v>202.5210614794521</v>
      </c>
      <c r="X122" s="32">
        <f t="shared" si="24"/>
        <v>206.49206268493154</v>
      </c>
      <c r="Y122" t="s">
        <v>25</v>
      </c>
      <c r="AH122" s="121">
        <v>102</v>
      </c>
      <c r="AI122" s="79" t="s">
        <v>4622</v>
      </c>
      <c r="AJ122" s="79">
        <v>13071612</v>
      </c>
      <c r="AK122" s="121">
        <v>1</v>
      </c>
      <c r="AL122" s="121">
        <f t="shared" si="28"/>
        <v>66</v>
      </c>
      <c r="AM122" s="79">
        <f t="shared" si="29"/>
        <v>862726392</v>
      </c>
      <c r="AN122" s="206" t="s">
        <v>4623</v>
      </c>
    </row>
    <row r="123" spans="6:46">
      <c r="K123" s="244" t="s">
        <v>4568</v>
      </c>
      <c r="P123" s="114"/>
      <c r="Q123" s="169">
        <v>58222</v>
      </c>
      <c r="R123" s="214" t="s">
        <v>5035</v>
      </c>
      <c r="S123" s="214">
        <f>S122</f>
        <v>-1</v>
      </c>
      <c r="T123" s="214" t="s">
        <v>5045</v>
      </c>
      <c r="U123" s="214">
        <v>420</v>
      </c>
      <c r="V123" s="99">
        <f>U123*(1+$N$79+$Q$15*S123/36500)</f>
        <v>424.38180821917814</v>
      </c>
      <c r="W123" s="32">
        <f t="shared" si="23"/>
        <v>432.8694443835617</v>
      </c>
      <c r="X123" s="32">
        <f t="shared" si="24"/>
        <v>441.35708054794526</v>
      </c>
      <c r="Y123" t="s">
        <v>25</v>
      </c>
      <c r="AH123" s="89">
        <v>103</v>
      </c>
      <c r="AI123" s="90" t="s">
        <v>4626</v>
      </c>
      <c r="AJ123" s="90">
        <v>16727037</v>
      </c>
      <c r="AK123" s="89">
        <v>0</v>
      </c>
      <c r="AL123" s="89">
        <f t="shared" si="28"/>
        <v>65</v>
      </c>
      <c r="AM123" s="90">
        <f t="shared" si="29"/>
        <v>1087257405</v>
      </c>
      <c r="AN123" s="89" t="s">
        <v>4634</v>
      </c>
    </row>
    <row r="124" spans="6:46">
      <c r="K124" s="244" t="s">
        <v>4569</v>
      </c>
      <c r="Q124" s="169">
        <v>130756</v>
      </c>
      <c r="R124" s="214" t="s">
        <v>5043</v>
      </c>
      <c r="S124" s="214">
        <f>S123-1</f>
        <v>-2</v>
      </c>
      <c r="T124" s="214" t="s">
        <v>5048</v>
      </c>
      <c r="U124" s="214">
        <v>197.8</v>
      </c>
      <c r="V124" s="99">
        <f>U124*(1+$N$79+$Q$15*S124/36500)</f>
        <v>199.71188602739727</v>
      </c>
      <c r="W124" s="32">
        <f t="shared" si="23"/>
        <v>203.70612374794521</v>
      </c>
      <c r="X124" s="32">
        <f t="shared" si="24"/>
        <v>207.70036146849316</v>
      </c>
      <c r="Y124" s="122" t="s">
        <v>25</v>
      </c>
      <c r="AH124" s="99">
        <v>104</v>
      </c>
      <c r="AI124" s="113" t="s">
        <v>4626</v>
      </c>
      <c r="AJ124" s="113">
        <v>12000000</v>
      </c>
      <c r="AK124" s="99">
        <v>1</v>
      </c>
      <c r="AL124" s="99">
        <f t="shared" si="28"/>
        <v>65</v>
      </c>
      <c r="AM124" s="117">
        <f t="shared" si="29"/>
        <v>780000000</v>
      </c>
      <c r="AN124" s="99" t="s">
        <v>4635</v>
      </c>
      <c r="AQ124" t="s">
        <v>25</v>
      </c>
    </row>
    <row r="125" spans="6:46">
      <c r="K125" s="244" t="s">
        <v>4570</v>
      </c>
      <c r="Q125" s="169"/>
      <c r="R125" s="168"/>
      <c r="S125" s="168"/>
      <c r="T125" s="168"/>
      <c r="U125" s="168"/>
      <c r="V125" s="99">
        <f>U125*(1+$N$79+$Q$15*S125/36500)</f>
        <v>0</v>
      </c>
      <c r="W125" s="32">
        <f t="shared" si="23"/>
        <v>0</v>
      </c>
      <c r="X125" s="32">
        <f t="shared" si="24"/>
        <v>0</v>
      </c>
      <c r="AH125" s="89">
        <v>105</v>
      </c>
      <c r="AI125" s="90" t="s">
        <v>4551</v>
      </c>
      <c r="AJ125" s="90">
        <v>88697667</v>
      </c>
      <c r="AK125" s="89">
        <v>1</v>
      </c>
      <c r="AL125" s="89">
        <f t="shared" si="28"/>
        <v>64</v>
      </c>
      <c r="AM125" s="90">
        <f t="shared" si="29"/>
        <v>5676650688</v>
      </c>
      <c r="AN125" s="89" t="s">
        <v>4636</v>
      </c>
      <c r="AP125" t="s">
        <v>25</v>
      </c>
    </row>
    <row r="126" spans="6:46">
      <c r="Q126" s="113">
        <f>SUM(N42:N48)-SUM(Q77:Q125)</f>
        <v>13700101.100000024</v>
      </c>
      <c r="R126" s="112"/>
      <c r="S126" s="112"/>
      <c r="T126" s="112"/>
      <c r="U126" s="168"/>
      <c r="V126" s="99" t="s">
        <v>25</v>
      </c>
      <c r="W126" s="32"/>
      <c r="X126" s="32"/>
      <c r="Y126" t="s">
        <v>25</v>
      </c>
      <c r="AH126" s="99">
        <v>106</v>
      </c>
      <c r="AI126" s="113" t="s">
        <v>4554</v>
      </c>
      <c r="AJ126" s="113">
        <v>101000</v>
      </c>
      <c r="AK126" s="99">
        <v>0</v>
      </c>
      <c r="AL126" s="99">
        <f>AL127+AK126</f>
        <v>63</v>
      </c>
      <c r="AM126" s="117">
        <f t="shared" si="29"/>
        <v>6363000</v>
      </c>
      <c r="AN126" s="99"/>
    </row>
    <row r="127" spans="6:46">
      <c r="J127" t="s">
        <v>25</v>
      </c>
      <c r="Q127" s="26"/>
      <c r="R127" s="181"/>
      <c r="S127" s="181"/>
      <c r="T127" t="s">
        <v>25</v>
      </c>
      <c r="U127" s="96" t="s">
        <v>25</v>
      </c>
      <c r="V127" s="96" t="s">
        <v>25</v>
      </c>
      <c r="W127" s="96" t="s">
        <v>25</v>
      </c>
      <c r="AH127" s="149">
        <v>107</v>
      </c>
      <c r="AI127" s="189" t="s">
        <v>4633</v>
      </c>
      <c r="AJ127" s="189">
        <v>-48200</v>
      </c>
      <c r="AK127" s="149">
        <v>0</v>
      </c>
      <c r="AL127" s="149">
        <f t="shared" ref="AL127:AL164" si="30">AL128+AK127</f>
        <v>63</v>
      </c>
      <c r="AM127" s="189">
        <f t="shared" si="29"/>
        <v>-3036600</v>
      </c>
      <c r="AN127" s="149" t="s">
        <v>4644</v>
      </c>
    </row>
    <row r="128" spans="6:46">
      <c r="R128" s="32" t="s">
        <v>4572</v>
      </c>
      <c r="S128" s="32" t="s">
        <v>950</v>
      </c>
      <c r="T128" t="s">
        <v>25</v>
      </c>
      <c r="U128" s="96" t="s">
        <v>25</v>
      </c>
      <c r="V128" s="96" t="s">
        <v>25</v>
      </c>
      <c r="W128" s="96" t="s">
        <v>25</v>
      </c>
      <c r="X128" s="122" t="s">
        <v>25</v>
      </c>
      <c r="AH128" s="89">
        <v>108</v>
      </c>
      <c r="AI128" s="90" t="s">
        <v>4633</v>
      </c>
      <c r="AJ128" s="90">
        <v>39327293</v>
      </c>
      <c r="AK128" s="89">
        <v>4</v>
      </c>
      <c r="AL128" s="149">
        <f t="shared" si="30"/>
        <v>63</v>
      </c>
      <c r="AM128" s="189">
        <f t="shared" si="29"/>
        <v>2477619459</v>
      </c>
      <c r="AN128" s="89" t="s">
        <v>4645</v>
      </c>
    </row>
    <row r="129" spans="6:44">
      <c r="R129" s="32">
        <v>2480</v>
      </c>
      <c r="S129" s="235">
        <v>13041741</v>
      </c>
      <c r="U129" s="96" t="s">
        <v>25</v>
      </c>
      <c r="V129" s="122" t="s">
        <v>25</v>
      </c>
      <c r="W129" s="96" t="s">
        <v>25</v>
      </c>
      <c r="X129" t="s">
        <v>25</v>
      </c>
      <c r="Y129" t="s">
        <v>25</v>
      </c>
      <c r="AH129" s="89">
        <v>109</v>
      </c>
      <c r="AI129" s="90" t="s">
        <v>4660</v>
      </c>
      <c r="AJ129" s="90">
        <v>8749050</v>
      </c>
      <c r="AK129" s="89">
        <v>1</v>
      </c>
      <c r="AL129" s="89">
        <f t="shared" si="30"/>
        <v>59</v>
      </c>
      <c r="AM129" s="90">
        <f t="shared" si="29"/>
        <v>516193950</v>
      </c>
      <c r="AN129" s="89" t="s">
        <v>4663</v>
      </c>
      <c r="AQ129" t="s">
        <v>25</v>
      </c>
    </row>
    <row r="130" spans="6:44">
      <c r="Q130" t="s">
        <v>25</v>
      </c>
      <c r="R130" s="32">
        <v>1450</v>
      </c>
      <c r="S130" s="1">
        <f>S129*R130/R129</f>
        <v>7625211.4717741935</v>
      </c>
      <c r="U130" s="96" t="s">
        <v>25</v>
      </c>
      <c r="V130" s="122" t="s">
        <v>25</v>
      </c>
      <c r="W130" s="96" t="s">
        <v>25</v>
      </c>
      <c r="X130" t="s">
        <v>25</v>
      </c>
      <c r="Z130" t="s">
        <v>25</v>
      </c>
      <c r="AH130" s="99">
        <v>110</v>
      </c>
      <c r="AI130" s="113" t="s">
        <v>4665</v>
      </c>
      <c r="AJ130" s="113">
        <v>60000</v>
      </c>
      <c r="AK130" s="99">
        <v>1</v>
      </c>
      <c r="AL130" s="99">
        <f t="shared" si="30"/>
        <v>58</v>
      </c>
      <c r="AM130" s="117">
        <f t="shared" si="29"/>
        <v>3480000</v>
      </c>
      <c r="AN130" s="99" t="s">
        <v>4666</v>
      </c>
    </row>
    <row r="131" spans="6:44">
      <c r="M131">
        <v>236</v>
      </c>
      <c r="N131">
        <v>3</v>
      </c>
      <c r="P131">
        <f>R137+624</f>
        <v>1691448</v>
      </c>
      <c r="R131" s="32">
        <f>R129-R130</f>
        <v>1030</v>
      </c>
      <c r="S131" s="1">
        <f>R131*S129/R129</f>
        <v>5416529.5282258065</v>
      </c>
      <c r="U131" s="122" t="s">
        <v>25</v>
      </c>
      <c r="V131" s="96"/>
      <c r="W131"/>
      <c r="X131" t="s">
        <v>25</v>
      </c>
      <c r="Y131" t="s">
        <v>25</v>
      </c>
      <c r="AH131" s="20">
        <v>111</v>
      </c>
      <c r="AI131" s="117" t="s">
        <v>4675</v>
      </c>
      <c r="AJ131" s="117">
        <v>4750000</v>
      </c>
      <c r="AK131" s="20">
        <v>0</v>
      </c>
      <c r="AL131" s="99">
        <f t="shared" si="30"/>
        <v>57</v>
      </c>
      <c r="AM131" s="117">
        <f t="shared" si="29"/>
        <v>270750000</v>
      </c>
      <c r="AN131" s="20"/>
    </row>
    <row r="132" spans="6:44">
      <c r="M132">
        <v>126</v>
      </c>
      <c r="N132">
        <v>1</v>
      </c>
      <c r="O132">
        <f>M131*N131</f>
        <v>708</v>
      </c>
      <c r="V132" s="96"/>
      <c r="W132"/>
      <c r="X132" t="s">
        <v>25</v>
      </c>
      <c r="AH132" s="89">
        <v>112</v>
      </c>
      <c r="AI132" s="90" t="s">
        <v>4675</v>
      </c>
      <c r="AJ132" s="90">
        <v>13101160</v>
      </c>
      <c r="AK132" s="89">
        <v>1</v>
      </c>
      <c r="AL132" s="89">
        <f t="shared" si="30"/>
        <v>57</v>
      </c>
      <c r="AM132" s="90">
        <f t="shared" si="29"/>
        <v>746766120</v>
      </c>
      <c r="AN132" s="89" t="s">
        <v>4679</v>
      </c>
      <c r="AQ132" t="s">
        <v>25</v>
      </c>
    </row>
    <row r="133" spans="6:44">
      <c r="L133">
        <v>821</v>
      </c>
      <c r="M133">
        <v>590</v>
      </c>
      <c r="N133">
        <v>0</v>
      </c>
      <c r="O133">
        <f>M132*N132</f>
        <v>126</v>
      </c>
      <c r="Q133" s="99" t="s">
        <v>4462</v>
      </c>
      <c r="R133" s="99" t="s">
        <v>4464</v>
      </c>
      <c r="S133" s="99"/>
      <c r="T133" s="99" t="s">
        <v>4465</v>
      </c>
      <c r="U133" s="99"/>
      <c r="V133" s="99"/>
      <c r="W133" s="99" t="s">
        <v>4575</v>
      </c>
      <c r="AH133" s="20">
        <v>113</v>
      </c>
      <c r="AI133" s="117" t="s">
        <v>4678</v>
      </c>
      <c r="AJ133" s="117">
        <v>-980000</v>
      </c>
      <c r="AK133" s="20">
        <v>0</v>
      </c>
      <c r="AL133" s="99">
        <f t="shared" si="30"/>
        <v>56</v>
      </c>
      <c r="AM133" s="117">
        <f t="shared" si="29"/>
        <v>-54880000</v>
      </c>
      <c r="AN133" s="20"/>
    </row>
    <row r="134" spans="6:44">
      <c r="O134" s="96">
        <f>M133*N133</f>
        <v>0</v>
      </c>
      <c r="Q134" s="113">
        <v>1000</v>
      </c>
      <c r="R134" s="99">
        <v>0.25</v>
      </c>
      <c r="S134" s="99"/>
      <c r="T134" s="99">
        <f>1-R134</f>
        <v>0.75</v>
      </c>
      <c r="U134" s="99"/>
      <c r="V134" s="99"/>
      <c r="W134" s="99"/>
      <c r="AH134" s="89">
        <v>114</v>
      </c>
      <c r="AI134" s="90" t="s">
        <v>4678</v>
      </c>
      <c r="AJ134" s="90">
        <v>13301790</v>
      </c>
      <c r="AK134" s="89">
        <v>0</v>
      </c>
      <c r="AL134" s="89">
        <f t="shared" si="30"/>
        <v>56</v>
      </c>
      <c r="AM134" s="90">
        <f t="shared" si="29"/>
        <v>744900240</v>
      </c>
      <c r="AN134" s="89" t="s">
        <v>4679</v>
      </c>
    </row>
    <row r="135" spans="6:44">
      <c r="Q135" s="168" t="s">
        <v>4449</v>
      </c>
      <c r="R135" s="168" t="s">
        <v>4467</v>
      </c>
      <c r="S135" s="168" t="s">
        <v>4469</v>
      </c>
      <c r="T135" s="168"/>
      <c r="U135" s="168" t="s">
        <v>4463</v>
      </c>
      <c r="V135" s="56" t="s">
        <v>4466</v>
      </c>
      <c r="W135" s="99"/>
      <c r="X135" s="115"/>
      <c r="AH135" s="20">
        <v>115</v>
      </c>
      <c r="AI135" s="117" t="s">
        <v>4678</v>
      </c>
      <c r="AJ135" s="117">
        <v>404000</v>
      </c>
      <c r="AK135" s="20">
        <v>5</v>
      </c>
      <c r="AL135" s="99">
        <f t="shared" si="30"/>
        <v>56</v>
      </c>
      <c r="AM135" s="117">
        <f t="shared" si="29"/>
        <v>22624000</v>
      </c>
      <c r="AN135" s="20" t="s">
        <v>4687</v>
      </c>
    </row>
    <row r="136" spans="6:44">
      <c r="O136">
        <f>O132+O133+O134</f>
        <v>834</v>
      </c>
      <c r="Q136" s="168" t="s">
        <v>751</v>
      </c>
      <c r="R136" s="56">
        <v>1716161</v>
      </c>
      <c r="S136" s="113">
        <f>R136*$T$224</f>
        <v>549755291.78114057</v>
      </c>
      <c r="T136" s="168"/>
      <c r="U136" s="168">
        <f>$Q$134*$T$134*S136/$R$160</f>
        <v>361.11935656643902</v>
      </c>
      <c r="V136" s="95">
        <f>S136+U136</f>
        <v>549755652.90049708</v>
      </c>
      <c r="W136" s="99">
        <f>R136*100/U221</f>
        <v>48.149247542191873</v>
      </c>
      <c r="X136" s="218"/>
      <c r="AH136" s="89">
        <v>116</v>
      </c>
      <c r="AI136" s="90" t="s">
        <v>4703</v>
      </c>
      <c r="AJ136" s="90">
        <v>4291628</v>
      </c>
      <c r="AK136" s="89">
        <v>2</v>
      </c>
      <c r="AL136" s="89">
        <f t="shared" si="30"/>
        <v>51</v>
      </c>
      <c r="AM136" s="90">
        <f t="shared" si="29"/>
        <v>218873028</v>
      </c>
      <c r="AN136" s="89" t="s">
        <v>4705</v>
      </c>
    </row>
    <row r="137" spans="6:44">
      <c r="Q137" s="168" t="s">
        <v>4451</v>
      </c>
      <c r="R137" s="56">
        <v>1690824</v>
      </c>
      <c r="S137" s="113">
        <f>R137*$T$224</f>
        <v>541638833.1109699</v>
      </c>
      <c r="T137" s="168"/>
      <c r="U137" s="214">
        <f>$Q$134*$T$134*S137/$R$160</f>
        <v>355.78787476646579</v>
      </c>
      <c r="V137" s="95">
        <f t="shared" ref="V137:V138" si="31">S137+U137</f>
        <v>541639188.89884472</v>
      </c>
      <c r="W137" s="99">
        <f>R137*100/U221</f>
        <v>47.43838330219544</v>
      </c>
      <c r="X137" s="115"/>
      <c r="Z137" t="s">
        <v>25</v>
      </c>
      <c r="AH137" s="20">
        <v>117</v>
      </c>
      <c r="AI137" s="117" t="s">
        <v>4707</v>
      </c>
      <c r="AJ137" s="117">
        <v>1000</v>
      </c>
      <c r="AK137" s="20">
        <v>5</v>
      </c>
      <c r="AL137" s="20">
        <f t="shared" si="30"/>
        <v>49</v>
      </c>
      <c r="AM137" s="117">
        <f t="shared" si="29"/>
        <v>49000</v>
      </c>
      <c r="AN137" s="20"/>
      <c r="AQ137" t="s">
        <v>25</v>
      </c>
    </row>
    <row r="138" spans="6:44">
      <c r="Q138" s="168" t="s">
        <v>4450</v>
      </c>
      <c r="R138" s="56">
        <v>53811</v>
      </c>
      <c r="S138" s="113">
        <f>R138*$T$224</f>
        <v>17237824.426749565</v>
      </c>
      <c r="T138" s="168"/>
      <c r="U138" s="214">
        <f>$Q$134*$T$134*S138/$R$160</f>
        <v>11.323059838905939</v>
      </c>
      <c r="V138" s="95">
        <f t="shared" si="31"/>
        <v>17237835.749809403</v>
      </c>
      <c r="W138" s="99">
        <f>R138*100/U221</f>
        <v>1.5097413118541247</v>
      </c>
      <c r="X138" s="115"/>
      <c r="AH138" s="121">
        <v>118</v>
      </c>
      <c r="AI138" s="79" t="s">
        <v>4715</v>
      </c>
      <c r="AJ138" s="79">
        <v>8739459</v>
      </c>
      <c r="AK138" s="121">
        <v>2</v>
      </c>
      <c r="AL138" s="121">
        <f t="shared" si="30"/>
        <v>44</v>
      </c>
      <c r="AM138" s="79">
        <f t="shared" si="29"/>
        <v>384536196</v>
      </c>
      <c r="AN138" s="121" t="s">
        <v>4663</v>
      </c>
    </row>
    <row r="139" spans="6:44">
      <c r="Q139" s="168" t="s">
        <v>1087</v>
      </c>
      <c r="R139" s="56">
        <v>103457</v>
      </c>
      <c r="S139" s="113">
        <f>R139*$T$224</f>
        <v>33141432.081140094</v>
      </c>
      <c r="T139" s="168"/>
      <c r="U139" s="214">
        <f>$Q$134*$T$134*S139/$R$160</f>
        <v>21.769708828189248</v>
      </c>
      <c r="V139" s="95">
        <f>S139+U139</f>
        <v>33141453.850848921</v>
      </c>
      <c r="W139" s="99">
        <f>R139*100/U221</f>
        <v>2.902627843758566</v>
      </c>
      <c r="X139" s="115"/>
      <c r="AH139" s="121">
        <v>119</v>
      </c>
      <c r="AI139" s="79" t="s">
        <v>4716</v>
      </c>
      <c r="AJ139" s="79">
        <v>17595278</v>
      </c>
      <c r="AK139" s="121">
        <v>1</v>
      </c>
      <c r="AL139" s="121">
        <f t="shared" si="30"/>
        <v>42</v>
      </c>
      <c r="AM139" s="79">
        <f t="shared" si="29"/>
        <v>739001676</v>
      </c>
      <c r="AN139" s="121" t="s">
        <v>4719</v>
      </c>
    </row>
    <row r="140" spans="6:44">
      <c r="Q140" s="168"/>
      <c r="R140" s="56"/>
      <c r="S140" s="168"/>
      <c r="T140" s="168"/>
      <c r="U140" s="168"/>
      <c r="V140" s="168"/>
      <c r="W140" s="99"/>
      <c r="X140" s="96"/>
      <c r="AH140" s="121">
        <v>120</v>
      </c>
      <c r="AI140" s="79" t="s">
        <v>4718</v>
      </c>
      <c r="AJ140" s="79">
        <v>13335309</v>
      </c>
      <c r="AK140" s="121">
        <v>13</v>
      </c>
      <c r="AL140" s="121">
        <f t="shared" si="30"/>
        <v>41</v>
      </c>
      <c r="AM140" s="79">
        <f t="shared" si="29"/>
        <v>546747669</v>
      </c>
      <c r="AN140" s="121" t="s">
        <v>4679</v>
      </c>
    </row>
    <row r="141" spans="6:44">
      <c r="P141" s="114"/>
      <c r="Q141" s="168"/>
      <c r="R141" s="168"/>
      <c r="S141" s="168"/>
      <c r="T141" s="168"/>
      <c r="U141" s="168"/>
      <c r="V141" s="168"/>
      <c r="W141" s="99"/>
      <c r="X141" s="96"/>
      <c r="Y141" t="s">
        <v>25</v>
      </c>
      <c r="AA141" t="s">
        <v>25</v>
      </c>
      <c r="AH141" s="161">
        <v>121</v>
      </c>
      <c r="AI141" s="229" t="s">
        <v>4774</v>
      </c>
      <c r="AJ141" s="229">
        <v>50000000</v>
      </c>
      <c r="AK141" s="161">
        <v>11</v>
      </c>
      <c r="AL141" s="161">
        <f t="shared" si="30"/>
        <v>28</v>
      </c>
      <c r="AM141" s="229">
        <f t="shared" si="29"/>
        <v>1400000000</v>
      </c>
      <c r="AN141" s="161" t="s">
        <v>4776</v>
      </c>
      <c r="AP141" t="s">
        <v>25</v>
      </c>
    </row>
    <row r="142" spans="6:44">
      <c r="Q142" s="99"/>
      <c r="R142" s="99"/>
      <c r="S142" s="99"/>
      <c r="T142" s="99" t="s">
        <v>25</v>
      </c>
      <c r="U142" s="99"/>
      <c r="V142" s="99"/>
      <c r="W142" s="99"/>
      <c r="X142" s="96"/>
      <c r="Y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0"/>
        <v>17</v>
      </c>
      <c r="AM142" s="117">
        <f t="shared" si="29"/>
        <v>510000</v>
      </c>
      <c r="AN142" s="20"/>
    </row>
    <row r="143" spans="6:44">
      <c r="F143" t="s">
        <v>4849</v>
      </c>
      <c r="G143">
        <v>1200</v>
      </c>
      <c r="H143" t="s">
        <v>4850</v>
      </c>
      <c r="Q143" s="99"/>
      <c r="R143" s="99"/>
      <c r="S143" s="99"/>
      <c r="T143" s="99"/>
      <c r="U143" s="99"/>
      <c r="V143" s="99"/>
      <c r="W143" s="99"/>
      <c r="X143" s="96"/>
      <c r="Y143" t="s">
        <v>25</v>
      </c>
      <c r="AH143" s="20">
        <v>123</v>
      </c>
      <c r="AI143" s="117" t="s">
        <v>4846</v>
      </c>
      <c r="AJ143" s="117">
        <v>600000</v>
      </c>
      <c r="AK143" s="20">
        <v>1</v>
      </c>
      <c r="AL143" s="20">
        <f t="shared" si="30"/>
        <v>14</v>
      </c>
      <c r="AM143" s="117">
        <f t="shared" si="29"/>
        <v>8400000</v>
      </c>
      <c r="AN143" s="20"/>
      <c r="AR143" t="s">
        <v>25</v>
      </c>
    </row>
    <row r="144" spans="6:44">
      <c r="G144">
        <v>1350</v>
      </c>
      <c r="H144" t="s">
        <v>4851</v>
      </c>
      <c r="Q144" s="99"/>
      <c r="R144" s="99"/>
      <c r="S144" s="99"/>
      <c r="T144" s="99"/>
      <c r="U144" s="99"/>
      <c r="V144" s="99"/>
      <c r="W144" s="99"/>
      <c r="X144" s="96"/>
      <c r="Y144" t="s">
        <v>25</v>
      </c>
      <c r="AH144" s="20">
        <v>124</v>
      </c>
      <c r="AI144" s="117" t="s">
        <v>4853</v>
      </c>
      <c r="AJ144" s="117">
        <v>30000</v>
      </c>
      <c r="AK144" s="20">
        <v>3</v>
      </c>
      <c r="AL144" s="20">
        <f>AL148+AK144</f>
        <v>13</v>
      </c>
      <c r="AM144" s="117">
        <f t="shared" si="29"/>
        <v>390000</v>
      </c>
      <c r="AN144" s="20"/>
    </row>
    <row r="145" spans="7:44">
      <c r="G145">
        <v>1050</v>
      </c>
      <c r="H145" t="s">
        <v>4852</v>
      </c>
      <c r="Q145" s="96"/>
      <c r="R145" s="96"/>
      <c r="S145" s="96"/>
      <c r="T145" s="96"/>
      <c r="V145" s="96"/>
      <c r="X145" s="115"/>
      <c r="AH145" s="20">
        <v>125</v>
      </c>
      <c r="AI145" s="117" t="s">
        <v>4860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2">AJ145*AL145</f>
        <v>15750000</v>
      </c>
      <c r="AN145" s="20"/>
    </row>
    <row r="146" spans="7:44">
      <c r="P146" s="114"/>
      <c r="Q146" s="96"/>
      <c r="R146" s="96"/>
      <c r="S146" s="96"/>
      <c r="T146" s="96"/>
      <c r="V146" s="96"/>
      <c r="AH146" s="23">
        <v>126</v>
      </c>
      <c r="AI146" s="35" t="s">
        <v>4865</v>
      </c>
      <c r="AJ146" s="35">
        <v>-31412200</v>
      </c>
      <c r="AK146" s="23">
        <v>1</v>
      </c>
      <c r="AL146" s="23">
        <f>AL164+AK146</f>
        <v>1</v>
      </c>
      <c r="AM146" s="35">
        <f t="shared" si="32"/>
        <v>-31412200</v>
      </c>
      <c r="AN146" s="23" t="s">
        <v>4848</v>
      </c>
    </row>
    <row r="147" spans="7:44">
      <c r="Q147" s="96"/>
      <c r="R147" s="96"/>
      <c r="S147" s="96"/>
      <c r="T147" s="96" t="s">
        <v>25</v>
      </c>
      <c r="V147" s="96"/>
      <c r="Z147" s="96"/>
      <c r="AH147" s="20">
        <v>127</v>
      </c>
      <c r="AI147" s="117" t="s">
        <v>4874</v>
      </c>
      <c r="AJ147" s="117">
        <v>70000</v>
      </c>
      <c r="AK147" s="20">
        <v>9</v>
      </c>
      <c r="AL147" s="20">
        <f>AL165+AK147</f>
        <v>9</v>
      </c>
      <c r="AM147" s="117">
        <f t="shared" si="32"/>
        <v>630000</v>
      </c>
      <c r="AN147" s="20"/>
    </row>
    <row r="148" spans="7:44">
      <c r="Q148" s="96"/>
      <c r="R148" s="96"/>
      <c r="S148" s="96"/>
      <c r="T148" s="96"/>
      <c r="V148" s="96"/>
      <c r="Z148" s="96"/>
      <c r="AH148" s="99">
        <v>128</v>
      </c>
      <c r="AI148" s="113" t="s">
        <v>4883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3">AJ148*AL148</f>
        <v>200000</v>
      </c>
      <c r="AN148" s="20"/>
      <c r="AP148" t="s">
        <v>25</v>
      </c>
      <c r="AR148" t="s">
        <v>25</v>
      </c>
    </row>
    <row r="149" spans="7:44">
      <c r="Q149" s="96"/>
      <c r="R149" s="96"/>
      <c r="S149" s="96"/>
      <c r="T149" s="99" t="s">
        <v>180</v>
      </c>
      <c r="U149" s="99" t="s">
        <v>4485</v>
      </c>
      <c r="V149" s="99" t="s">
        <v>4486</v>
      </c>
      <c r="W149" s="99" t="s">
        <v>4496</v>
      </c>
      <c r="X149" s="99" t="s">
        <v>8</v>
      </c>
      <c r="Z149" s="96"/>
      <c r="AH149" s="99">
        <v>129</v>
      </c>
      <c r="AI149" s="113" t="s">
        <v>4907</v>
      </c>
      <c r="AJ149" s="113">
        <v>1000000</v>
      </c>
      <c r="AK149" s="99">
        <v>1</v>
      </c>
      <c r="AL149" s="20">
        <f>AL167+AK149</f>
        <v>1</v>
      </c>
      <c r="AM149" s="117">
        <f t="shared" si="33"/>
        <v>1000000</v>
      </c>
      <c r="AN149" s="20"/>
    </row>
    <row r="150" spans="7:44">
      <c r="Q150" s="36" t="s">
        <v>4571</v>
      </c>
      <c r="R150" s="95">
        <f>SUM(N42:N48)</f>
        <v>698511206.10000002</v>
      </c>
      <c r="T150" s="113" t="s">
        <v>4461</v>
      </c>
      <c r="U150" s="56">
        <v>1000000</v>
      </c>
      <c r="V150" s="113">
        <v>239.024</v>
      </c>
      <c r="W150" s="113">
        <f t="shared" ref="W150:W219" si="34">U150*V150</f>
        <v>239024000</v>
      </c>
      <c r="X150" s="99"/>
      <c r="Z150" s="96"/>
      <c r="AA150" s="114"/>
      <c r="AC150" s="114"/>
      <c r="AD150" s="114"/>
      <c r="AH150" s="99">
        <v>130</v>
      </c>
      <c r="AI150" s="113" t="s">
        <v>4908</v>
      </c>
      <c r="AJ150" s="113">
        <v>65630227</v>
      </c>
      <c r="AK150" s="99">
        <v>0</v>
      </c>
      <c r="AL150" s="20">
        <f t="shared" ref="AL150:AL162" si="35">AL168+AK150</f>
        <v>0</v>
      </c>
      <c r="AM150" s="117">
        <f t="shared" ref="AM150:AM163" si="36">AJ150*AL150</f>
        <v>0</v>
      </c>
      <c r="AN150" s="20" t="s">
        <v>4913</v>
      </c>
      <c r="AP150" t="s">
        <v>25</v>
      </c>
    </row>
    <row r="151" spans="7:44">
      <c r="Q151" s="99" t="s">
        <v>4452</v>
      </c>
      <c r="R151" s="95">
        <f>SUM(N21:N24)</f>
        <v>405493223.89999998</v>
      </c>
      <c r="T151" s="168" t="s">
        <v>4443</v>
      </c>
      <c r="U151" s="56">
        <v>5904</v>
      </c>
      <c r="V151" s="113">
        <v>237.148</v>
      </c>
      <c r="W151" s="113">
        <f t="shared" si="34"/>
        <v>1400121.7919999999</v>
      </c>
      <c r="X151" s="99" t="s">
        <v>751</v>
      </c>
      <c r="Z151" s="96"/>
      <c r="AA151" s="114"/>
      <c r="AC151" s="114"/>
      <c r="AH151" s="99">
        <v>131</v>
      </c>
      <c r="AI151" s="113" t="s">
        <v>4908</v>
      </c>
      <c r="AJ151" s="113">
        <v>-3500000</v>
      </c>
      <c r="AK151" s="99">
        <v>6</v>
      </c>
      <c r="AL151" s="20">
        <f t="shared" si="35"/>
        <v>6</v>
      </c>
      <c r="AM151" s="117">
        <f t="shared" si="36"/>
        <v>-21000000</v>
      </c>
      <c r="AN151" s="20" t="s">
        <v>4912</v>
      </c>
    </row>
    <row r="152" spans="7:44">
      <c r="Q152" s="99" t="s">
        <v>4453</v>
      </c>
      <c r="R152" s="95">
        <f>SUM(N27:N29)</f>
        <v>37568515.399999999</v>
      </c>
      <c r="T152" s="168" t="s">
        <v>4232</v>
      </c>
      <c r="U152" s="168">
        <v>1000</v>
      </c>
      <c r="V152" s="113">
        <v>247.393</v>
      </c>
      <c r="W152" s="113">
        <f t="shared" si="34"/>
        <v>247393</v>
      </c>
      <c r="X152" s="99" t="s">
        <v>751</v>
      </c>
      <c r="Z152" s="96"/>
      <c r="AA152" s="114"/>
      <c r="AC152" s="114"/>
      <c r="AD152" s="114"/>
      <c r="AH152" s="99">
        <v>132</v>
      </c>
      <c r="AI152" s="113" t="s">
        <v>4926</v>
      </c>
      <c r="AJ152" s="113">
        <v>2520000</v>
      </c>
      <c r="AK152" s="99">
        <v>12</v>
      </c>
      <c r="AL152" s="20">
        <f t="shared" si="35"/>
        <v>12</v>
      </c>
      <c r="AM152" s="117">
        <f t="shared" si="36"/>
        <v>30240000</v>
      </c>
      <c r="AN152" s="20"/>
    </row>
    <row r="153" spans="7:44">
      <c r="Q153" s="99" t="s">
        <v>4454</v>
      </c>
      <c r="R153" s="95">
        <f>N40</f>
        <v>142</v>
      </c>
      <c r="T153" s="168" t="s">
        <v>4497</v>
      </c>
      <c r="U153" s="168">
        <v>8071</v>
      </c>
      <c r="V153" s="113">
        <v>247.797</v>
      </c>
      <c r="W153" s="113">
        <f t="shared" si="34"/>
        <v>1999969.5870000001</v>
      </c>
      <c r="X153" s="99" t="s">
        <v>4450</v>
      </c>
      <c r="Y153" s="96"/>
      <c r="Z153" s="96"/>
      <c r="AH153" s="99">
        <v>133</v>
      </c>
      <c r="AI153" s="113" t="s">
        <v>4963</v>
      </c>
      <c r="AJ153" s="113">
        <v>1400000</v>
      </c>
      <c r="AK153" s="99">
        <v>4</v>
      </c>
      <c r="AL153" s="20">
        <f t="shared" si="35"/>
        <v>4</v>
      </c>
      <c r="AM153" s="117">
        <f t="shared" si="36"/>
        <v>5600000</v>
      </c>
      <c r="AN153" s="20"/>
    </row>
    <row r="154" spans="7:44">
      <c r="P154" s="114"/>
      <c r="Q154" s="99" t="s">
        <v>4455</v>
      </c>
      <c r="R154" s="95">
        <f>N20</f>
        <v>7</v>
      </c>
      <c r="T154" s="168" t="s">
        <v>4497</v>
      </c>
      <c r="U154" s="168">
        <v>53672</v>
      </c>
      <c r="V154" s="113">
        <v>247.797</v>
      </c>
      <c r="W154" s="113">
        <f t="shared" si="34"/>
        <v>13299760.584000001</v>
      </c>
      <c r="X154" s="99" t="s">
        <v>452</v>
      </c>
      <c r="Y154" s="96"/>
      <c r="Z154" s="96"/>
      <c r="AH154" s="99">
        <v>134</v>
      </c>
      <c r="AI154" s="113" t="s">
        <v>4990</v>
      </c>
      <c r="AJ154" s="113">
        <v>1550000</v>
      </c>
      <c r="AK154" s="99">
        <v>2</v>
      </c>
      <c r="AL154" s="20">
        <f t="shared" si="35"/>
        <v>2</v>
      </c>
      <c r="AM154" s="117">
        <f t="shared" si="36"/>
        <v>3100000</v>
      </c>
      <c r="AN154" s="20"/>
    </row>
    <row r="155" spans="7:44">
      <c r="P155" s="114"/>
      <c r="Q155" s="99" t="s">
        <v>4456</v>
      </c>
      <c r="R155" s="95">
        <f>N26</f>
        <v>287</v>
      </c>
      <c r="T155" s="168" t="s">
        <v>4505</v>
      </c>
      <c r="U155" s="168">
        <v>4099</v>
      </c>
      <c r="V155" s="113">
        <v>243.93</v>
      </c>
      <c r="W155" s="113">
        <f t="shared" si="34"/>
        <v>999869.07000000007</v>
      </c>
      <c r="X155" s="99" t="s">
        <v>4450</v>
      </c>
      <c r="Y155" s="96"/>
      <c r="Z155" s="96"/>
      <c r="AH155" s="99">
        <v>135</v>
      </c>
      <c r="AI155" s="113" t="s">
        <v>4935</v>
      </c>
      <c r="AJ155" s="113">
        <v>250000</v>
      </c>
      <c r="AK155" s="99">
        <v>6</v>
      </c>
      <c r="AL155" s="20">
        <f t="shared" si="35"/>
        <v>6</v>
      </c>
      <c r="AM155" s="117">
        <f t="shared" si="36"/>
        <v>1500000</v>
      </c>
      <c r="AN155" s="20"/>
    </row>
    <row r="156" spans="7:44">
      <c r="P156" s="114"/>
      <c r="Q156" s="99" t="s">
        <v>4468</v>
      </c>
      <c r="R156" s="95">
        <v>0</v>
      </c>
      <c r="T156" s="168" t="s">
        <v>4505</v>
      </c>
      <c r="U156" s="168">
        <v>9301</v>
      </c>
      <c r="V156" s="113">
        <v>243.93</v>
      </c>
      <c r="W156" s="113">
        <f t="shared" si="34"/>
        <v>2268792.9300000002</v>
      </c>
      <c r="X156" s="99" t="s">
        <v>452</v>
      </c>
      <c r="Y156" s="96"/>
      <c r="Z156" s="96"/>
      <c r="AH156" s="99">
        <v>136</v>
      </c>
      <c r="AI156" s="113" t="s">
        <v>5000</v>
      </c>
      <c r="AJ156" s="113">
        <v>-48527480</v>
      </c>
      <c r="AK156" s="99">
        <v>14</v>
      </c>
      <c r="AL156" s="20">
        <f t="shared" si="35"/>
        <v>14</v>
      </c>
      <c r="AM156" s="117">
        <f t="shared" si="36"/>
        <v>-679384720</v>
      </c>
      <c r="AN156" s="20" t="s">
        <v>5002</v>
      </c>
      <c r="AQ156" t="s">
        <v>25</v>
      </c>
    </row>
    <row r="157" spans="7:44">
      <c r="Q157" s="99" t="s">
        <v>4964</v>
      </c>
      <c r="R157" s="95">
        <v>0</v>
      </c>
      <c r="T157" s="168" t="s">
        <v>4511</v>
      </c>
      <c r="U157" s="168">
        <v>8334</v>
      </c>
      <c r="V157" s="113">
        <v>239.97</v>
      </c>
      <c r="W157" s="113">
        <f t="shared" si="34"/>
        <v>1999909.98</v>
      </c>
      <c r="X157" s="99" t="s">
        <v>4450</v>
      </c>
      <c r="Y157" s="96"/>
      <c r="Z157" s="96"/>
      <c r="AH157" s="99">
        <v>137</v>
      </c>
      <c r="AI157" s="113" t="s">
        <v>5035</v>
      </c>
      <c r="AJ157" s="113">
        <v>2100000</v>
      </c>
      <c r="AK157" s="99">
        <v>1</v>
      </c>
      <c r="AL157" s="20">
        <f t="shared" si="35"/>
        <v>1</v>
      </c>
      <c r="AM157" s="117">
        <f t="shared" si="36"/>
        <v>2100000</v>
      </c>
      <c r="AN157" s="20"/>
    </row>
    <row r="158" spans="7:44">
      <c r="Q158" s="99" t="s">
        <v>4881</v>
      </c>
      <c r="R158" s="95">
        <v>200000</v>
      </c>
      <c r="T158" s="168" t="s">
        <v>4231</v>
      </c>
      <c r="U158" s="168">
        <v>29041</v>
      </c>
      <c r="V158" s="113">
        <v>233.45</v>
      </c>
      <c r="W158" s="113">
        <f t="shared" si="34"/>
        <v>6779621.4499999993</v>
      </c>
      <c r="X158" s="99" t="s">
        <v>751</v>
      </c>
      <c r="Y158" s="96"/>
      <c r="Z158" s="96"/>
      <c r="AH158" s="99">
        <v>138</v>
      </c>
      <c r="AI158" s="113" t="s">
        <v>5043</v>
      </c>
      <c r="AJ158" s="113">
        <v>100000</v>
      </c>
      <c r="AK158" s="99">
        <v>1</v>
      </c>
      <c r="AL158" s="20">
        <f t="shared" si="35"/>
        <v>1</v>
      </c>
      <c r="AM158" s="117">
        <f t="shared" si="36"/>
        <v>100000</v>
      </c>
      <c r="AN158" s="20"/>
      <c r="AQ158" t="s">
        <v>25</v>
      </c>
    </row>
    <row r="159" spans="7:44">
      <c r="Q159" s="99" t="s">
        <v>5003</v>
      </c>
      <c r="R159" s="95">
        <v>0</v>
      </c>
      <c r="S159" s="115"/>
      <c r="T159" s="168" t="s">
        <v>994</v>
      </c>
      <c r="U159" s="168">
        <v>12337</v>
      </c>
      <c r="V159" s="113">
        <v>243.16300000000001</v>
      </c>
      <c r="W159" s="113">
        <f t="shared" si="34"/>
        <v>2999901.9310000003</v>
      </c>
      <c r="X159" s="99" t="s">
        <v>4450</v>
      </c>
      <c r="Y159" s="96"/>
      <c r="Z159" s="96"/>
      <c r="AH159" s="99"/>
      <c r="AI159" s="113"/>
      <c r="AJ159" s="113"/>
      <c r="AK159" s="99"/>
      <c r="AL159" s="20">
        <f t="shared" si="35"/>
        <v>0</v>
      </c>
      <c r="AM159" s="117">
        <f t="shared" si="36"/>
        <v>0</v>
      </c>
      <c r="AN159" s="20"/>
      <c r="AP159" t="s">
        <v>25</v>
      </c>
      <c r="AQ159" t="s">
        <v>25</v>
      </c>
    </row>
    <row r="160" spans="7:44">
      <c r="P160" s="114"/>
      <c r="Q160" s="99" t="s">
        <v>4460</v>
      </c>
      <c r="R160" s="95">
        <f>SUM(R150:R159)</f>
        <v>1141773381.4000001</v>
      </c>
      <c r="S160" s="122"/>
      <c r="T160" s="168" t="s">
        <v>4594</v>
      </c>
      <c r="U160" s="168">
        <v>-16118</v>
      </c>
      <c r="V160" s="113">
        <v>248.17</v>
      </c>
      <c r="W160" s="113">
        <f t="shared" si="34"/>
        <v>-4000004.0599999996</v>
      </c>
      <c r="X160" s="99" t="s">
        <v>751</v>
      </c>
      <c r="Y160" s="96"/>
      <c r="AH160" s="99"/>
      <c r="AI160" s="113"/>
      <c r="AJ160" s="113"/>
      <c r="AK160" s="99"/>
      <c r="AL160" s="20">
        <f t="shared" si="35"/>
        <v>0</v>
      </c>
      <c r="AM160" s="117">
        <f t="shared" si="36"/>
        <v>0</v>
      </c>
      <c r="AN160" s="20"/>
      <c r="AQ160" t="s">
        <v>25</v>
      </c>
    </row>
    <row r="161" spans="15:40">
      <c r="Q161" s="96"/>
      <c r="S161" s="115"/>
      <c r="T161" s="168" t="s">
        <v>4622</v>
      </c>
      <c r="U161" s="168">
        <v>101681</v>
      </c>
      <c r="V161" s="113">
        <v>246.5711</v>
      </c>
      <c r="W161" s="113">
        <f t="shared" si="34"/>
        <v>25071596.019099999</v>
      </c>
      <c r="X161" s="99" t="s">
        <v>452</v>
      </c>
      <c r="Y161" s="96"/>
      <c r="AH161" s="99"/>
      <c r="AI161" s="113"/>
      <c r="AJ161" s="113"/>
      <c r="AK161" s="99"/>
      <c r="AL161" s="20">
        <f t="shared" si="35"/>
        <v>0</v>
      </c>
      <c r="AM161" s="117">
        <f t="shared" si="36"/>
        <v>0</v>
      </c>
      <c r="AN161" s="20"/>
    </row>
    <row r="162" spans="15:40">
      <c r="P162" s="114"/>
      <c r="Q162" s="96"/>
      <c r="R162" s="182"/>
      <c r="S162" s="115"/>
      <c r="T162" s="168" t="s">
        <v>4626</v>
      </c>
      <c r="U162" s="168">
        <v>66606</v>
      </c>
      <c r="V162" s="113">
        <v>251.131</v>
      </c>
      <c r="W162" s="113">
        <f t="shared" si="34"/>
        <v>16726831.386</v>
      </c>
      <c r="X162" s="99" t="s">
        <v>751</v>
      </c>
      <c r="Y162" s="96"/>
      <c r="AH162" s="99"/>
      <c r="AI162" s="113"/>
      <c r="AJ162" s="113"/>
      <c r="AK162" s="99"/>
      <c r="AL162" s="20">
        <f t="shared" si="35"/>
        <v>0</v>
      </c>
      <c r="AM162" s="117">
        <f t="shared" si="36"/>
        <v>0</v>
      </c>
      <c r="AN162" s="20"/>
    </row>
    <row r="163" spans="15:40">
      <c r="O163" s="96"/>
      <c r="Q163" s="96"/>
      <c r="R163" s="182"/>
      <c r="T163" s="168" t="s">
        <v>4631</v>
      </c>
      <c r="U163" s="168">
        <v>172025</v>
      </c>
      <c r="V163" s="113">
        <v>245.52809999999999</v>
      </c>
      <c r="W163" s="113">
        <f t="shared" si="34"/>
        <v>42236971.402499996</v>
      </c>
      <c r="X163" s="99" t="s">
        <v>452</v>
      </c>
      <c r="Y163" s="96"/>
      <c r="AH163" s="99"/>
      <c r="AI163" s="113"/>
      <c r="AJ163" s="113"/>
      <c r="AK163" s="99"/>
      <c r="AL163" s="20">
        <v>0</v>
      </c>
      <c r="AM163" s="117">
        <f t="shared" si="36"/>
        <v>0</v>
      </c>
      <c r="AN163" s="20"/>
    </row>
    <row r="164" spans="15:40">
      <c r="O164" s="96"/>
      <c r="Q164" s="96"/>
      <c r="R164" s="115"/>
      <c r="T164" s="168" t="s">
        <v>4631</v>
      </c>
      <c r="U164" s="168">
        <v>189227</v>
      </c>
      <c r="V164" s="113">
        <v>245.52809999999999</v>
      </c>
      <c r="W164" s="113">
        <f t="shared" si="34"/>
        <v>46460545.778700002</v>
      </c>
      <c r="X164" s="99" t="s">
        <v>751</v>
      </c>
      <c r="Y164" s="96"/>
      <c r="AH164" s="99"/>
      <c r="AI164" s="113"/>
      <c r="AJ164" s="113"/>
      <c r="AK164" s="99"/>
      <c r="AL164" s="99">
        <f t="shared" si="30"/>
        <v>0</v>
      </c>
      <c r="AM164" s="117">
        <f t="shared" si="29"/>
        <v>0</v>
      </c>
      <c r="AN164" s="99"/>
    </row>
    <row r="165" spans="15:40">
      <c r="T165" s="168" t="s">
        <v>4633</v>
      </c>
      <c r="U165" s="168">
        <v>79720</v>
      </c>
      <c r="V165" s="113">
        <v>246.6568</v>
      </c>
      <c r="W165" s="113">
        <f t="shared" si="34"/>
        <v>19663480.096000001</v>
      </c>
      <c r="X165" s="99" t="s">
        <v>452</v>
      </c>
      <c r="Y165" s="96"/>
      <c r="AH165" s="99"/>
      <c r="AI165" s="99"/>
      <c r="AJ165" s="95">
        <f>SUM(AJ20:AJ164)</f>
        <v>533436633</v>
      </c>
      <c r="AK165" s="99"/>
      <c r="AL165" s="99"/>
      <c r="AM165" s="95">
        <f>SUM(AM20:AM164)</f>
        <v>64066827397</v>
      </c>
      <c r="AN165" s="95">
        <f>AM165*AN168/31</f>
        <v>34445219.749219328</v>
      </c>
    </row>
    <row r="166" spans="15:40">
      <c r="P166" s="99" t="s">
        <v>8</v>
      </c>
      <c r="Q166" s="99" t="s">
        <v>4450</v>
      </c>
      <c r="R166" s="99"/>
      <c r="T166" s="168" t="s">
        <v>4633</v>
      </c>
      <c r="U166" s="168">
        <v>79720</v>
      </c>
      <c r="V166" s="113">
        <v>246.6568</v>
      </c>
      <c r="W166" s="113">
        <f t="shared" si="34"/>
        <v>19663480.096000001</v>
      </c>
      <c r="X166" s="99" t="s">
        <v>751</v>
      </c>
      <c r="Y166" t="s">
        <v>25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15:40">
      <c r="P167" s="99"/>
      <c r="Q167" s="36" t="s">
        <v>180</v>
      </c>
      <c r="R167" s="99" t="s">
        <v>267</v>
      </c>
      <c r="T167" s="168" t="s">
        <v>4660</v>
      </c>
      <c r="U167" s="168">
        <v>17769</v>
      </c>
      <c r="V167" s="113">
        <v>246.17877999999999</v>
      </c>
      <c r="W167" s="113">
        <f t="shared" si="34"/>
        <v>4374350.7418200001</v>
      </c>
      <c r="X167" s="99" t="s">
        <v>751</v>
      </c>
      <c r="AH167" s="99"/>
      <c r="AI167" s="99"/>
      <c r="AJ167" s="99"/>
      <c r="AK167" s="99"/>
      <c r="AL167" s="99"/>
      <c r="AM167" s="99"/>
      <c r="AN167" s="99"/>
    </row>
    <row r="168" spans="15:40">
      <c r="P168" s="99"/>
      <c r="Q168" s="99" t="s">
        <v>4443</v>
      </c>
      <c r="R168" s="95">
        <v>3000000</v>
      </c>
      <c r="T168" s="168" t="s">
        <v>4660</v>
      </c>
      <c r="U168" s="168">
        <v>17769</v>
      </c>
      <c r="V168" s="113">
        <v>246.17877999999999</v>
      </c>
      <c r="W168" s="113">
        <f t="shared" si="34"/>
        <v>4374350.7418200001</v>
      </c>
      <c r="X168" s="99" t="s">
        <v>452</v>
      </c>
      <c r="Y168" t="s">
        <v>25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15:40">
      <c r="P169" s="99"/>
      <c r="Q169" s="99" t="s">
        <v>4497</v>
      </c>
      <c r="R169" s="95">
        <v>2000000</v>
      </c>
      <c r="T169" s="168" t="s">
        <v>4665</v>
      </c>
      <c r="U169" s="168">
        <v>12438</v>
      </c>
      <c r="V169" s="113">
        <v>241.20465999999999</v>
      </c>
      <c r="W169" s="113">
        <f t="shared" si="34"/>
        <v>3000103.5610799999</v>
      </c>
      <c r="X169" s="99" t="s">
        <v>4450</v>
      </c>
      <c r="AH169" s="99"/>
      <c r="AI169" s="99"/>
      <c r="AJ169" s="99"/>
      <c r="AK169" s="99"/>
      <c r="AL169" s="99"/>
      <c r="AM169" s="99"/>
      <c r="AN169" s="99"/>
    </row>
    <row r="170" spans="15:40">
      <c r="P170" s="99"/>
      <c r="Q170" s="99" t="s">
        <v>4505</v>
      </c>
      <c r="R170" s="95">
        <v>1000000</v>
      </c>
      <c r="T170" s="168" t="s">
        <v>4675</v>
      </c>
      <c r="U170" s="168">
        <v>27363</v>
      </c>
      <c r="V170" s="113">
        <v>239.3886</v>
      </c>
      <c r="W170" s="113">
        <f t="shared" si="34"/>
        <v>6550390.2617999995</v>
      </c>
      <c r="X170" s="99" t="s">
        <v>751</v>
      </c>
      <c r="Y170" t="s">
        <v>25</v>
      </c>
      <c r="AH170" s="99"/>
      <c r="AI170" s="99" t="s">
        <v>4061</v>
      </c>
      <c r="AJ170" s="95">
        <f>AJ165+AN165</f>
        <v>567881852.7492193</v>
      </c>
      <c r="AK170" s="99"/>
      <c r="AL170" s="99"/>
      <c r="AM170" s="99"/>
      <c r="AN170" s="99"/>
    </row>
    <row r="171" spans="15:40">
      <c r="P171" s="99"/>
      <c r="Q171" s="99" t="s">
        <v>4511</v>
      </c>
      <c r="R171" s="95">
        <v>2000000</v>
      </c>
      <c r="T171" s="168" t="s">
        <v>4675</v>
      </c>
      <c r="U171" s="168">
        <v>27363</v>
      </c>
      <c r="V171" s="113">
        <v>239.3886</v>
      </c>
      <c r="W171" s="113">
        <f t="shared" si="34"/>
        <v>6550390.2617999995</v>
      </c>
      <c r="X171" s="99" t="s">
        <v>452</v>
      </c>
      <c r="AI171" t="s">
        <v>4064</v>
      </c>
      <c r="AJ171" s="114">
        <f>SUM(N40:N48)</f>
        <v>698511348.10000002</v>
      </c>
    </row>
    <row r="172" spans="15:40">
      <c r="P172" s="99"/>
      <c r="Q172" s="99" t="s">
        <v>994</v>
      </c>
      <c r="R172" s="95">
        <v>3000000</v>
      </c>
      <c r="T172" s="211" t="s">
        <v>4678</v>
      </c>
      <c r="U172" s="211">
        <v>27437</v>
      </c>
      <c r="V172" s="113">
        <v>242.4015</v>
      </c>
      <c r="W172" s="113">
        <f t="shared" si="34"/>
        <v>6650769.9555000002</v>
      </c>
      <c r="X172" s="99" t="s">
        <v>751</v>
      </c>
      <c r="AI172" t="s">
        <v>4136</v>
      </c>
      <c r="AJ172" s="114">
        <f>AJ171-AJ165</f>
        <v>165074715.10000002</v>
      </c>
      <c r="AM172" t="s">
        <v>25</v>
      </c>
    </row>
    <row r="173" spans="15:40">
      <c r="P173" s="99"/>
      <c r="Q173" s="99" t="s">
        <v>4665</v>
      </c>
      <c r="R173" s="95">
        <v>3000000</v>
      </c>
      <c r="T173" s="211" t="s">
        <v>4678</v>
      </c>
      <c r="U173" s="211">
        <v>29104</v>
      </c>
      <c r="V173" s="113">
        <v>242.4015</v>
      </c>
      <c r="W173" s="113">
        <f t="shared" si="34"/>
        <v>7054853.2560000001</v>
      </c>
      <c r="X173" s="99" t="s">
        <v>452</v>
      </c>
      <c r="AI173" t="s">
        <v>943</v>
      </c>
      <c r="AJ173" s="114">
        <f>AN165</f>
        <v>34445219.749219328</v>
      </c>
      <c r="AN173" t="s">
        <v>25</v>
      </c>
    </row>
    <row r="174" spans="15:40">
      <c r="P174" s="99" t="s">
        <v>4870</v>
      </c>
      <c r="Q174" s="99" t="s">
        <v>4865</v>
      </c>
      <c r="R174" s="95">
        <v>-800000</v>
      </c>
      <c r="T174" s="214" t="s">
        <v>4703</v>
      </c>
      <c r="U174" s="214">
        <v>8991</v>
      </c>
      <c r="V174" s="113">
        <v>238.64867000000001</v>
      </c>
      <c r="W174" s="113">
        <f t="shared" si="34"/>
        <v>2145690.19197</v>
      </c>
      <c r="X174" s="99" t="s">
        <v>751</v>
      </c>
      <c r="AI174" t="s">
        <v>4065</v>
      </c>
      <c r="AJ174" s="114">
        <f>AJ171-AJ170</f>
        <v>130629495.35078073</v>
      </c>
      <c r="AN174" t="s">
        <v>25</v>
      </c>
    </row>
    <row r="175" spans="15:40">
      <c r="P175" s="99" t="s">
        <v>4871</v>
      </c>
      <c r="Q175" s="99" t="s">
        <v>4865</v>
      </c>
      <c r="R175" s="95">
        <v>-900000</v>
      </c>
      <c r="T175" s="214" t="s">
        <v>4703</v>
      </c>
      <c r="U175" s="214">
        <v>8991</v>
      </c>
      <c r="V175" s="113">
        <v>238.64867000000001</v>
      </c>
      <c r="W175" s="113">
        <f t="shared" si="34"/>
        <v>2145690.19197</v>
      </c>
      <c r="X175" s="99" t="s">
        <v>452</v>
      </c>
      <c r="AM175" t="s">
        <v>25</v>
      </c>
    </row>
    <row r="176" spans="15:40">
      <c r="P176" s="99" t="s">
        <v>4871</v>
      </c>
      <c r="Q176" s="99" t="s">
        <v>981</v>
      </c>
      <c r="R176" s="95">
        <v>-1100000</v>
      </c>
      <c r="T176" s="214" t="s">
        <v>4715</v>
      </c>
      <c r="U176" s="214">
        <v>18170</v>
      </c>
      <c r="V176" s="113">
        <v>240.48475999999999</v>
      </c>
      <c r="W176" s="113">
        <f t="shared" si="34"/>
        <v>4369608.0892000003</v>
      </c>
      <c r="X176" s="99" t="s">
        <v>751</v>
      </c>
      <c r="AJ176" t="s">
        <v>25</v>
      </c>
    </row>
    <row r="177" spans="16:44">
      <c r="P177" s="196" t="s">
        <v>1087</v>
      </c>
      <c r="Q177" s="196" t="s">
        <v>4896</v>
      </c>
      <c r="R177" s="243">
        <v>30000000</v>
      </c>
      <c r="S177" t="s">
        <v>25</v>
      </c>
      <c r="T177" s="214" t="s">
        <v>4715</v>
      </c>
      <c r="U177" s="214">
        <v>18170</v>
      </c>
      <c r="V177" s="113">
        <v>240.48475999999999</v>
      </c>
      <c r="W177" s="113">
        <f t="shared" si="34"/>
        <v>4369608.0892000003</v>
      </c>
      <c r="X177" s="99" t="s">
        <v>452</v>
      </c>
    </row>
    <row r="178" spans="16:44">
      <c r="P178" s="20" t="s">
        <v>4994</v>
      </c>
      <c r="Q178" s="20" t="s">
        <v>4992</v>
      </c>
      <c r="R178" s="248">
        <v>2000000</v>
      </c>
      <c r="T178" s="214" t="s">
        <v>4718</v>
      </c>
      <c r="U178" s="214">
        <v>36797</v>
      </c>
      <c r="V178" s="113">
        <v>239.0822</v>
      </c>
      <c r="W178" s="113">
        <f t="shared" si="34"/>
        <v>8797507.7134000007</v>
      </c>
      <c r="X178" s="99" t="s">
        <v>751</v>
      </c>
    </row>
    <row r="179" spans="16:44">
      <c r="P179" s="149" t="s">
        <v>5027</v>
      </c>
      <c r="Q179" s="149" t="s">
        <v>5026</v>
      </c>
      <c r="R179" s="150">
        <v>480105</v>
      </c>
      <c r="T179" s="214" t="s">
        <v>4718</v>
      </c>
      <c r="U179" s="214">
        <v>36797</v>
      </c>
      <c r="V179" s="113">
        <v>239.0822</v>
      </c>
      <c r="W179" s="113">
        <f t="shared" si="34"/>
        <v>8797507.7134000007</v>
      </c>
      <c r="X179" s="99" t="s">
        <v>452</v>
      </c>
      <c r="Y179" t="s">
        <v>25</v>
      </c>
    </row>
    <row r="180" spans="16:44">
      <c r="P180" s="99"/>
      <c r="Q180" s="99"/>
      <c r="R180" s="95"/>
      <c r="T180" s="214" t="s">
        <v>4727</v>
      </c>
      <c r="U180" s="214">
        <v>28066</v>
      </c>
      <c r="V180" s="113">
        <v>237.56970000000001</v>
      </c>
      <c r="W180" s="113">
        <f t="shared" si="34"/>
        <v>6667631.2002000008</v>
      </c>
      <c r="X180" s="99" t="s">
        <v>751</v>
      </c>
    </row>
    <row r="181" spans="16:44">
      <c r="P181" s="99"/>
      <c r="Q181" s="99"/>
      <c r="R181" s="95">
        <f>SUM(R168:R179)</f>
        <v>43680105</v>
      </c>
      <c r="T181" s="214" t="s">
        <v>4727</v>
      </c>
      <c r="U181" s="214">
        <v>28066</v>
      </c>
      <c r="V181" s="113">
        <v>237.56970000000001</v>
      </c>
      <c r="W181" s="113">
        <f t="shared" si="34"/>
        <v>6667631.2002000008</v>
      </c>
      <c r="X181" s="99" t="s">
        <v>452</v>
      </c>
      <c r="Y181" t="s">
        <v>25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P182" s="99"/>
      <c r="Q182" s="99"/>
      <c r="R182" s="99" t="s">
        <v>6</v>
      </c>
      <c r="T182" s="214" t="s">
        <v>3684</v>
      </c>
      <c r="U182" s="214">
        <v>37457</v>
      </c>
      <c r="V182" s="113">
        <v>239.77</v>
      </c>
      <c r="W182" s="113">
        <f t="shared" si="34"/>
        <v>8981064.8900000006</v>
      </c>
      <c r="X182" s="99" t="s">
        <v>751</v>
      </c>
      <c r="Y182" t="s">
        <v>25</v>
      </c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307</v>
      </c>
      <c r="AM182" s="99">
        <f>AJ182*AL182</f>
        <v>1091636740</v>
      </c>
      <c r="AN182" s="99" t="s">
        <v>4313</v>
      </c>
      <c r="AR182" t="s">
        <v>25</v>
      </c>
    </row>
    <row r="183" spans="16:44">
      <c r="T183" s="214" t="s">
        <v>3684</v>
      </c>
      <c r="U183" s="214">
        <v>37457</v>
      </c>
      <c r="V183" s="113">
        <v>239.77</v>
      </c>
      <c r="W183" s="113">
        <f t="shared" si="34"/>
        <v>8981064.8900000006</v>
      </c>
      <c r="X183" s="99" t="s">
        <v>452</v>
      </c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37">AK183+AL184</f>
        <v>305</v>
      </c>
      <c r="AM183" s="99">
        <f t="shared" ref="AM183:AM211" si="38">AJ183*AL183</f>
        <v>524855285</v>
      </c>
      <c r="AN183" s="99" t="s">
        <v>4314</v>
      </c>
    </row>
    <row r="184" spans="16:44">
      <c r="Q184" s="96"/>
      <c r="R184" s="96" t="s">
        <v>25</v>
      </c>
      <c r="T184" s="214" t="s">
        <v>4740</v>
      </c>
      <c r="U184" s="214">
        <v>38412</v>
      </c>
      <c r="V184" s="113">
        <v>239.03</v>
      </c>
      <c r="W184" s="113">
        <f t="shared" si="34"/>
        <v>9181620.3599999994</v>
      </c>
      <c r="X184" s="99" t="s">
        <v>751</v>
      </c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37"/>
        <v>254</v>
      </c>
      <c r="AM184" s="99">
        <f t="shared" si="38"/>
        <v>38100000</v>
      </c>
      <c r="AN184" s="99"/>
    </row>
    <row r="185" spans="16:44">
      <c r="Q185" s="96"/>
      <c r="R185" s="96"/>
      <c r="T185" s="214" t="s">
        <v>4740</v>
      </c>
      <c r="U185" s="214">
        <v>38412</v>
      </c>
      <c r="V185" s="113">
        <v>239.03</v>
      </c>
      <c r="W185" s="113">
        <f t="shared" si="34"/>
        <v>9181620.3599999994</v>
      </c>
      <c r="X185" s="99" t="s">
        <v>452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37"/>
        <v>251</v>
      </c>
      <c r="AM185" s="99">
        <f t="shared" si="38"/>
        <v>-23845000</v>
      </c>
      <c r="AN185" s="99"/>
    </row>
    <row r="186" spans="16:44">
      <c r="T186" s="214" t="s">
        <v>4744</v>
      </c>
      <c r="U186" s="214">
        <v>49555</v>
      </c>
      <c r="V186" s="113">
        <v>238.345</v>
      </c>
      <c r="W186" s="113">
        <f t="shared" si="34"/>
        <v>11811186.475</v>
      </c>
      <c r="X186" s="99" t="s">
        <v>751</v>
      </c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37"/>
        <v>243</v>
      </c>
      <c r="AM186" s="99">
        <f t="shared" si="38"/>
        <v>765450000</v>
      </c>
      <c r="AN186" s="99"/>
    </row>
    <row r="187" spans="16:44">
      <c r="Q187" s="99" t="s">
        <v>751</v>
      </c>
      <c r="R187" s="99"/>
      <c r="T187" s="214" t="s">
        <v>4744</v>
      </c>
      <c r="U187" s="214">
        <v>49555</v>
      </c>
      <c r="V187" s="113">
        <v>238.345</v>
      </c>
      <c r="W187" s="113">
        <f t="shared" si="34"/>
        <v>11811186.475</v>
      </c>
      <c r="X187" s="99" t="s">
        <v>452</v>
      </c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37"/>
        <v>227</v>
      </c>
      <c r="AM187" s="99">
        <f t="shared" si="38"/>
        <v>-14755000</v>
      </c>
      <c r="AN187" s="99"/>
    </row>
    <row r="188" spans="16:44">
      <c r="Q188" s="99" t="s">
        <v>4443</v>
      </c>
      <c r="R188" s="95">
        <v>172908000</v>
      </c>
      <c r="T188" s="214" t="s">
        <v>4758</v>
      </c>
      <c r="U188" s="214">
        <v>160187</v>
      </c>
      <c r="V188" s="113">
        <v>257.49799999999999</v>
      </c>
      <c r="W188" s="113">
        <f t="shared" si="34"/>
        <v>41247832.126000002</v>
      </c>
      <c r="X188" s="99" t="s">
        <v>751</v>
      </c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37"/>
        <v>226</v>
      </c>
      <c r="AM188" s="99">
        <f t="shared" si="38"/>
        <v>-21470000</v>
      </c>
      <c r="AN188" s="99"/>
    </row>
    <row r="189" spans="16:44">
      <c r="Q189" s="99" t="s">
        <v>4484</v>
      </c>
      <c r="R189" s="95">
        <v>1400000</v>
      </c>
      <c r="T189" s="214" t="s">
        <v>4758</v>
      </c>
      <c r="U189" s="214">
        <v>160187</v>
      </c>
      <c r="V189" s="113">
        <v>257.49799999999999</v>
      </c>
      <c r="W189" s="113">
        <f t="shared" si="34"/>
        <v>41247832.126000002</v>
      </c>
      <c r="X189" s="99" t="s">
        <v>452</v>
      </c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37"/>
        <v>220</v>
      </c>
      <c r="AM189" s="99">
        <f t="shared" si="38"/>
        <v>51040000</v>
      </c>
      <c r="AN189" s="99"/>
    </row>
    <row r="190" spans="16:44">
      <c r="Q190" s="99" t="s">
        <v>4232</v>
      </c>
      <c r="R190" s="95">
        <v>247393</v>
      </c>
      <c r="S190" t="s">
        <v>25</v>
      </c>
      <c r="T190" s="214" t="s">
        <v>4766</v>
      </c>
      <c r="U190" s="214">
        <v>144401</v>
      </c>
      <c r="V190" s="113">
        <v>258.5061</v>
      </c>
      <c r="W190" s="113">
        <f t="shared" si="34"/>
        <v>37328539.346100003</v>
      </c>
      <c r="X190" s="99" t="s">
        <v>751</v>
      </c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37"/>
        <v>213</v>
      </c>
      <c r="AM190" s="99">
        <f t="shared" si="38"/>
        <v>2769000000</v>
      </c>
      <c r="AN190" s="99"/>
    </row>
    <row r="191" spans="16:44">
      <c r="Q191" s="99" t="s">
        <v>4231</v>
      </c>
      <c r="R191" s="95">
        <v>6780000</v>
      </c>
      <c r="T191" s="214" t="s">
        <v>4766</v>
      </c>
      <c r="U191" s="214">
        <v>144401</v>
      </c>
      <c r="V191" s="113">
        <v>258.5061</v>
      </c>
      <c r="W191" s="113">
        <f t="shared" si="34"/>
        <v>37328539.346100003</v>
      </c>
      <c r="X191" s="99" t="s">
        <v>452</v>
      </c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37"/>
        <v>211</v>
      </c>
      <c r="AM191" s="99">
        <f t="shared" si="38"/>
        <v>2110000000</v>
      </c>
      <c r="AN191" s="99"/>
    </row>
    <row r="192" spans="16:44">
      <c r="Q192" s="99" t="s">
        <v>4594</v>
      </c>
      <c r="R192" s="95">
        <v>-4000000</v>
      </c>
      <c r="T192" s="168" t="s">
        <v>4774</v>
      </c>
      <c r="U192" s="168">
        <v>196500</v>
      </c>
      <c r="V192" s="113">
        <v>254.452</v>
      </c>
      <c r="W192" s="113">
        <f t="shared" si="34"/>
        <v>49999818</v>
      </c>
      <c r="X192" s="99" t="s">
        <v>4779</v>
      </c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37"/>
        <v>208</v>
      </c>
      <c r="AM192" s="99">
        <f t="shared" si="38"/>
        <v>707200000</v>
      </c>
      <c r="AN192" s="99"/>
    </row>
    <row r="193" spans="15:44">
      <c r="Q193" s="99" t="s">
        <v>4626</v>
      </c>
      <c r="R193" s="95">
        <v>16727037</v>
      </c>
      <c r="T193" s="214" t="s">
        <v>4774</v>
      </c>
      <c r="U193" s="214">
        <v>2561</v>
      </c>
      <c r="V193" s="113">
        <v>254.536</v>
      </c>
      <c r="W193" s="113">
        <f t="shared" si="34"/>
        <v>651866.696</v>
      </c>
      <c r="X193" s="99" t="s">
        <v>4780</v>
      </c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199</v>
      </c>
      <c r="AM193" s="99">
        <f t="shared" si="38"/>
        <v>-1738566286</v>
      </c>
      <c r="AN193" s="99"/>
    </row>
    <row r="194" spans="15:44">
      <c r="Q194" s="99" t="s">
        <v>4631</v>
      </c>
      <c r="R194" s="95">
        <v>46460683</v>
      </c>
      <c r="S194" t="s">
        <v>25</v>
      </c>
      <c r="T194" s="214" t="s">
        <v>4829</v>
      </c>
      <c r="U194" s="214">
        <v>-11795</v>
      </c>
      <c r="V194" s="113">
        <v>254.334</v>
      </c>
      <c r="W194" s="113">
        <f t="shared" si="34"/>
        <v>-2999869.5300000003</v>
      </c>
      <c r="X194" s="99" t="s">
        <v>4830</v>
      </c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39">AK194+AL195</f>
        <v>198</v>
      </c>
      <c r="AM194" s="99">
        <f t="shared" si="38"/>
        <v>109890000</v>
      </c>
      <c r="AN194" s="99"/>
    </row>
    <row r="195" spans="15:44">
      <c r="Q195" s="99" t="s">
        <v>4633</v>
      </c>
      <c r="R195" s="95">
        <v>19663646</v>
      </c>
      <c r="T195" s="214" t="s">
        <v>4829</v>
      </c>
      <c r="U195" s="214">
        <v>11795</v>
      </c>
      <c r="V195" s="113">
        <v>254.334</v>
      </c>
      <c r="W195" s="113">
        <f t="shared" si="34"/>
        <v>2999869.5300000003</v>
      </c>
      <c r="X195" s="99" t="s">
        <v>4831</v>
      </c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39"/>
        <v>193</v>
      </c>
      <c r="AM195" s="99">
        <f t="shared" si="38"/>
        <v>-86523444</v>
      </c>
      <c r="AN195" s="99"/>
    </row>
    <row r="196" spans="15:44">
      <c r="Q196" s="99" t="s">
        <v>4660</v>
      </c>
      <c r="R196" s="95">
        <v>4374525</v>
      </c>
      <c r="T196" s="214" t="s">
        <v>4846</v>
      </c>
      <c r="U196" s="214">
        <v>260</v>
      </c>
      <c r="V196" s="113">
        <v>263.19</v>
      </c>
      <c r="W196" s="113">
        <f t="shared" si="34"/>
        <v>68429.399999999994</v>
      </c>
      <c r="X196" s="99" t="s">
        <v>452</v>
      </c>
      <c r="AH196" s="99">
        <v>15</v>
      </c>
      <c r="AI196" s="99" t="s">
        <v>4403</v>
      </c>
      <c r="AJ196" s="117">
        <v>33225</v>
      </c>
      <c r="AK196" s="99">
        <v>0</v>
      </c>
      <c r="AL196" s="99">
        <f t="shared" si="39"/>
        <v>187</v>
      </c>
      <c r="AM196" s="99">
        <f t="shared" si="38"/>
        <v>6213075</v>
      </c>
      <c r="AN196" s="99"/>
    </row>
    <row r="197" spans="15:44">
      <c r="O197" t="s">
        <v>25</v>
      </c>
      <c r="Q197" s="99" t="s">
        <v>4675</v>
      </c>
      <c r="R197" s="95">
        <v>6550580</v>
      </c>
      <c r="T197" s="214" t="s">
        <v>4860</v>
      </c>
      <c r="U197" s="214">
        <v>15257</v>
      </c>
      <c r="V197" s="113">
        <v>262.19018</v>
      </c>
      <c r="W197" s="113">
        <f t="shared" si="34"/>
        <v>4000235.57626</v>
      </c>
      <c r="X197" s="99" t="s">
        <v>452</v>
      </c>
      <c r="Y197" t="s">
        <v>25</v>
      </c>
      <c r="AH197" s="149">
        <v>16</v>
      </c>
      <c r="AI197" s="149" t="s">
        <v>4403</v>
      </c>
      <c r="AJ197" s="189">
        <v>4098523</v>
      </c>
      <c r="AK197" s="149">
        <v>2</v>
      </c>
      <c r="AL197" s="149">
        <f t="shared" si="39"/>
        <v>187</v>
      </c>
      <c r="AM197" s="149">
        <f t="shared" si="38"/>
        <v>766423801</v>
      </c>
      <c r="AN197" s="149" t="s">
        <v>657</v>
      </c>
    </row>
    <row r="198" spans="15:44">
      <c r="Q198" s="99" t="s">
        <v>4678</v>
      </c>
      <c r="R198" s="95">
        <v>6650895</v>
      </c>
      <c r="T198" s="214" t="s">
        <v>4860</v>
      </c>
      <c r="U198" s="214">
        <v>8444</v>
      </c>
      <c r="V198" s="113">
        <v>266.43029999999999</v>
      </c>
      <c r="W198" s="113">
        <f t="shared" si="34"/>
        <v>2249737.4531999999</v>
      </c>
      <c r="X198" s="99" t="s">
        <v>452</v>
      </c>
      <c r="AH198" s="149">
        <v>17</v>
      </c>
      <c r="AI198" s="149" t="s">
        <v>4416</v>
      </c>
      <c r="AJ198" s="189">
        <v>-1000000</v>
      </c>
      <c r="AK198" s="149">
        <v>7</v>
      </c>
      <c r="AL198" s="149">
        <f t="shared" si="39"/>
        <v>185</v>
      </c>
      <c r="AM198" s="149">
        <f t="shared" si="38"/>
        <v>-185000000</v>
      </c>
      <c r="AN198" s="149" t="s">
        <v>657</v>
      </c>
    </row>
    <row r="199" spans="15:44">
      <c r="Q199" s="99" t="s">
        <v>4703</v>
      </c>
      <c r="R199" s="95">
        <v>2145814</v>
      </c>
      <c r="T199" s="214" t="s">
        <v>4865</v>
      </c>
      <c r="U199" s="214">
        <v>-6209</v>
      </c>
      <c r="V199" s="113">
        <v>273.79649999999998</v>
      </c>
      <c r="W199" s="113">
        <f t="shared" si="34"/>
        <v>-1700002.4685</v>
      </c>
      <c r="X199" s="99" t="s">
        <v>4876</v>
      </c>
      <c r="AH199" s="149">
        <v>18</v>
      </c>
      <c r="AI199" s="149" t="s">
        <v>4439</v>
      </c>
      <c r="AJ199" s="189">
        <v>750000</v>
      </c>
      <c r="AK199" s="149">
        <v>1</v>
      </c>
      <c r="AL199" s="149">
        <f t="shared" si="39"/>
        <v>178</v>
      </c>
      <c r="AM199" s="149">
        <f t="shared" si="38"/>
        <v>133500000</v>
      </c>
      <c r="AN199" s="149" t="s">
        <v>657</v>
      </c>
      <c r="AQ199" t="s">
        <v>25</v>
      </c>
    </row>
    <row r="200" spans="15:44">
      <c r="Q200" s="99" t="s">
        <v>4715</v>
      </c>
      <c r="R200" s="95">
        <v>4369730</v>
      </c>
      <c r="T200" s="214" t="s">
        <v>4865</v>
      </c>
      <c r="U200" s="214">
        <v>-8014</v>
      </c>
      <c r="V200" s="113">
        <v>273.79649999999998</v>
      </c>
      <c r="W200" s="113">
        <f t="shared" si="34"/>
        <v>-2194205.1510000001</v>
      </c>
      <c r="X200" s="99" t="s">
        <v>751</v>
      </c>
      <c r="AH200" s="196">
        <v>19</v>
      </c>
      <c r="AI200" s="196" t="s">
        <v>4441</v>
      </c>
      <c r="AJ200" s="197">
        <v>-604152</v>
      </c>
      <c r="AK200" s="196">
        <v>0</v>
      </c>
      <c r="AL200" s="196">
        <f t="shared" si="39"/>
        <v>177</v>
      </c>
      <c r="AM200" s="196">
        <f t="shared" si="38"/>
        <v>-106934904</v>
      </c>
      <c r="AN200" s="196" t="s">
        <v>657</v>
      </c>
    </row>
    <row r="201" spans="15:44">
      <c r="Q201" s="99" t="s">
        <v>4718</v>
      </c>
      <c r="R201" s="95">
        <v>8739459</v>
      </c>
      <c r="S201" t="s">
        <v>25</v>
      </c>
      <c r="T201" s="214" t="s">
        <v>4874</v>
      </c>
      <c r="U201" s="214">
        <v>-9176</v>
      </c>
      <c r="V201" s="113">
        <v>273.79649999999998</v>
      </c>
      <c r="W201" s="113">
        <f t="shared" si="34"/>
        <v>-2512356.6839999999</v>
      </c>
      <c r="X201" s="99" t="s">
        <v>452</v>
      </c>
      <c r="AH201" s="99">
        <v>20</v>
      </c>
      <c r="AI201" s="99" t="s">
        <v>4442</v>
      </c>
      <c r="AJ201" s="117">
        <v>-587083</v>
      </c>
      <c r="AK201" s="99">
        <v>4</v>
      </c>
      <c r="AL201" s="99">
        <f t="shared" si="39"/>
        <v>177</v>
      </c>
      <c r="AM201" s="99">
        <f t="shared" si="38"/>
        <v>-103913691</v>
      </c>
      <c r="AN201" s="99"/>
    </row>
    <row r="202" spans="15:44">
      <c r="Q202" s="99" t="s">
        <v>4727</v>
      </c>
      <c r="R202" s="95">
        <v>6667654</v>
      </c>
      <c r="T202" s="214" t="s">
        <v>4874</v>
      </c>
      <c r="U202" s="214">
        <v>1087</v>
      </c>
      <c r="V202" s="113">
        <v>273.79649999999998</v>
      </c>
      <c r="W202" s="113">
        <f t="shared" si="34"/>
        <v>297616.79550000001</v>
      </c>
      <c r="X202" s="99" t="s">
        <v>452</v>
      </c>
      <c r="AH202" s="196">
        <v>21</v>
      </c>
      <c r="AI202" s="196" t="s">
        <v>4443</v>
      </c>
      <c r="AJ202" s="197">
        <v>-754351</v>
      </c>
      <c r="AK202" s="196">
        <v>0</v>
      </c>
      <c r="AL202" s="149">
        <f t="shared" si="39"/>
        <v>173</v>
      </c>
      <c r="AM202" s="196">
        <f t="shared" si="38"/>
        <v>-130502723</v>
      </c>
      <c r="AN202" s="196" t="s">
        <v>657</v>
      </c>
      <c r="AR202" t="s">
        <v>25</v>
      </c>
    </row>
    <row r="203" spans="15:44">
      <c r="Q203" s="99" t="s">
        <v>4735</v>
      </c>
      <c r="R203" s="95">
        <v>8981245</v>
      </c>
      <c r="T203" s="214" t="s">
        <v>981</v>
      </c>
      <c r="U203" s="214">
        <v>-4017</v>
      </c>
      <c r="V203" s="113">
        <v>273.79649999999998</v>
      </c>
      <c r="W203" s="113">
        <f t="shared" si="34"/>
        <v>-1099840.5404999999</v>
      </c>
      <c r="X203" s="99" t="s">
        <v>4450</v>
      </c>
      <c r="AH203" s="99">
        <v>22</v>
      </c>
      <c r="AI203" s="99" t="s">
        <v>4443</v>
      </c>
      <c r="AJ203" s="117">
        <v>-189619</v>
      </c>
      <c r="AK203" s="99">
        <v>15</v>
      </c>
      <c r="AL203" s="99">
        <f t="shared" si="39"/>
        <v>173</v>
      </c>
      <c r="AM203" s="99">
        <f t="shared" si="38"/>
        <v>-32804087</v>
      </c>
      <c r="AN203" s="99"/>
    </row>
    <row r="204" spans="15:44">
      <c r="Q204" s="99" t="s">
        <v>4740</v>
      </c>
      <c r="R204" s="95">
        <v>9181756</v>
      </c>
      <c r="T204" s="214" t="s">
        <v>981</v>
      </c>
      <c r="U204" s="214">
        <v>4017</v>
      </c>
      <c r="V204" s="113">
        <v>273.79649999999998</v>
      </c>
      <c r="W204" s="113">
        <f t="shared" si="34"/>
        <v>1099840.5404999999</v>
      </c>
      <c r="X204" s="99" t="s">
        <v>452</v>
      </c>
      <c r="AH204" s="196">
        <v>23</v>
      </c>
      <c r="AI204" s="196" t="s">
        <v>4515</v>
      </c>
      <c r="AJ204" s="189">
        <v>7100</v>
      </c>
      <c r="AK204" s="196">
        <v>0</v>
      </c>
      <c r="AL204" s="149">
        <f t="shared" si="39"/>
        <v>158</v>
      </c>
      <c r="AM204" s="196">
        <f t="shared" si="38"/>
        <v>1121800</v>
      </c>
      <c r="AN204" s="196" t="s">
        <v>657</v>
      </c>
    </row>
    <row r="205" spans="15:44">
      <c r="Q205" s="99" t="s">
        <v>4744</v>
      </c>
      <c r="R205" s="95">
        <v>11811208</v>
      </c>
      <c r="S205" t="s">
        <v>25</v>
      </c>
      <c r="T205" s="214" t="s">
        <v>4883</v>
      </c>
      <c r="U205" s="214">
        <v>3137</v>
      </c>
      <c r="V205" s="113">
        <v>283.69110000000001</v>
      </c>
      <c r="W205" s="113">
        <f t="shared" si="34"/>
        <v>889938.98070000007</v>
      </c>
      <c r="X205" s="99" t="s">
        <v>452</v>
      </c>
      <c r="AH205" s="20">
        <v>24</v>
      </c>
      <c r="AI205" s="20" t="s">
        <v>4515</v>
      </c>
      <c r="AJ205" s="117">
        <v>-147902</v>
      </c>
      <c r="AK205" s="20">
        <v>3</v>
      </c>
      <c r="AL205" s="99">
        <f t="shared" si="39"/>
        <v>158</v>
      </c>
      <c r="AM205" s="20">
        <f t="shared" si="38"/>
        <v>-23368516</v>
      </c>
      <c r="AN205" s="20"/>
      <c r="AR205" t="s">
        <v>25</v>
      </c>
    </row>
    <row r="206" spans="15:44">
      <c r="Q206" s="99" t="s">
        <v>4758</v>
      </c>
      <c r="R206" s="95">
        <v>41248054</v>
      </c>
      <c r="S206" t="s">
        <v>25</v>
      </c>
      <c r="T206" s="214" t="s">
        <v>4896</v>
      </c>
      <c r="U206" s="214">
        <v>101933</v>
      </c>
      <c r="V206" s="113">
        <v>294.30973999999998</v>
      </c>
      <c r="W206" s="113">
        <f t="shared" si="34"/>
        <v>29999874.727419998</v>
      </c>
      <c r="X206" s="99" t="s">
        <v>1087</v>
      </c>
      <c r="AH206" s="149">
        <v>25</v>
      </c>
      <c r="AI206" s="149" t="s">
        <v>4523</v>
      </c>
      <c r="AJ206" s="189">
        <v>-37200</v>
      </c>
      <c r="AK206" s="149">
        <v>4</v>
      </c>
      <c r="AL206" s="149">
        <f t="shared" si="39"/>
        <v>155</v>
      </c>
      <c r="AM206" s="196">
        <f t="shared" si="38"/>
        <v>-5766000</v>
      </c>
      <c r="AN206" s="149" t="s">
        <v>657</v>
      </c>
    </row>
    <row r="207" spans="15:44">
      <c r="Q207" s="99" t="s">
        <v>4766</v>
      </c>
      <c r="R207" s="95">
        <v>37328780</v>
      </c>
      <c r="T207" s="214" t="s">
        <v>4907</v>
      </c>
      <c r="U207" s="214">
        <v>3407</v>
      </c>
      <c r="V207" s="113">
        <v>293.43799999999999</v>
      </c>
      <c r="W207" s="113">
        <f t="shared" si="34"/>
        <v>999743.26599999995</v>
      </c>
      <c r="X207" s="99" t="s">
        <v>452</v>
      </c>
      <c r="AH207" s="99">
        <v>26</v>
      </c>
      <c r="AI207" s="99" t="s">
        <v>4554</v>
      </c>
      <c r="AJ207" s="117">
        <v>-372326</v>
      </c>
      <c r="AK207" s="99">
        <v>21</v>
      </c>
      <c r="AL207" s="99">
        <f t="shared" si="39"/>
        <v>151</v>
      </c>
      <c r="AM207" s="20">
        <f t="shared" si="38"/>
        <v>-56221226</v>
      </c>
      <c r="AN207" s="99"/>
    </row>
    <row r="208" spans="15:44">
      <c r="Q208" s="99" t="s">
        <v>4865</v>
      </c>
      <c r="R208" s="95">
        <v>-2194100</v>
      </c>
      <c r="T208" s="214" t="s">
        <v>4908</v>
      </c>
      <c r="U208" s="214">
        <v>68796</v>
      </c>
      <c r="V208" s="113">
        <v>293.53250000000003</v>
      </c>
      <c r="W208" s="113">
        <f t="shared" si="34"/>
        <v>20193861.870000001</v>
      </c>
      <c r="X208" s="99" t="s">
        <v>751</v>
      </c>
      <c r="AH208" s="99">
        <v>27</v>
      </c>
      <c r="AI208" s="99" t="s">
        <v>4608</v>
      </c>
      <c r="AJ208" s="117">
        <v>235062</v>
      </c>
      <c r="AK208" s="99">
        <v>0</v>
      </c>
      <c r="AL208" s="99">
        <f t="shared" si="39"/>
        <v>130</v>
      </c>
      <c r="AM208" s="20">
        <f t="shared" si="38"/>
        <v>30558060</v>
      </c>
      <c r="AN208" s="99"/>
    </row>
    <row r="209" spans="17:45">
      <c r="Q209" s="99" t="s">
        <v>4908</v>
      </c>
      <c r="R209" s="95">
        <v>20193916</v>
      </c>
      <c r="T209" s="214" t="s">
        <v>4908</v>
      </c>
      <c r="U209" s="214">
        <v>154791</v>
      </c>
      <c r="V209" s="113">
        <v>293.53250000000003</v>
      </c>
      <c r="W209" s="113">
        <f t="shared" si="34"/>
        <v>45436189.207500003</v>
      </c>
      <c r="X209" s="99" t="s">
        <v>452</v>
      </c>
      <c r="AH209" s="149">
        <v>28</v>
      </c>
      <c r="AI209" s="149" t="s">
        <v>4608</v>
      </c>
      <c r="AJ209" s="189">
        <v>235062</v>
      </c>
      <c r="AK209" s="149">
        <v>9</v>
      </c>
      <c r="AL209" s="99">
        <f t="shared" si="39"/>
        <v>130</v>
      </c>
      <c r="AM209" s="149">
        <f t="shared" si="38"/>
        <v>30558060</v>
      </c>
      <c r="AN209" s="149" t="s">
        <v>657</v>
      </c>
      <c r="AP209" t="s">
        <v>25</v>
      </c>
    </row>
    <row r="210" spans="17:45">
      <c r="Q210" s="99" t="s">
        <v>4992</v>
      </c>
      <c r="R210" s="95">
        <v>-2000000</v>
      </c>
      <c r="T210" s="214" t="s">
        <v>4908</v>
      </c>
      <c r="U210" s="214">
        <v>-11923</v>
      </c>
      <c r="V210" s="113">
        <v>293.53250000000003</v>
      </c>
      <c r="W210" s="113">
        <f t="shared" si="34"/>
        <v>-3499787.9975000005</v>
      </c>
      <c r="X210" s="99" t="s">
        <v>452</v>
      </c>
      <c r="Z210" t="s">
        <v>25</v>
      </c>
      <c r="AH210" s="149">
        <v>29</v>
      </c>
      <c r="AI210" s="149" t="s">
        <v>4633</v>
      </c>
      <c r="AJ210" s="189">
        <v>450000</v>
      </c>
      <c r="AK210" s="149">
        <v>0</v>
      </c>
      <c r="AL210" s="99">
        <f t="shared" si="39"/>
        <v>121</v>
      </c>
      <c r="AM210" s="149">
        <f t="shared" si="38"/>
        <v>54450000</v>
      </c>
      <c r="AN210" s="149" t="s">
        <v>657</v>
      </c>
    </row>
    <row r="211" spans="17:45">
      <c r="Q211" s="99"/>
      <c r="R211" s="95"/>
      <c r="T211" s="214" t="s">
        <v>4926</v>
      </c>
      <c r="U211" s="214">
        <v>8424</v>
      </c>
      <c r="V211" s="113">
        <v>299.15170000000001</v>
      </c>
      <c r="W211" s="113">
        <f t="shared" si="34"/>
        <v>2520053.9208</v>
      </c>
      <c r="X211" s="99" t="s">
        <v>452</v>
      </c>
      <c r="AH211" s="20">
        <v>30</v>
      </c>
      <c r="AI211" s="20" t="s">
        <v>4633</v>
      </c>
      <c r="AJ211" s="117">
        <v>450000</v>
      </c>
      <c r="AK211" s="20">
        <v>22</v>
      </c>
      <c r="AL211" s="99">
        <f>AK211+AL212</f>
        <v>121</v>
      </c>
      <c r="AM211" s="20">
        <f t="shared" si="38"/>
        <v>54450000</v>
      </c>
      <c r="AN211" s="20"/>
      <c r="AR211" t="s">
        <v>25</v>
      </c>
    </row>
    <row r="212" spans="17:45">
      <c r="Q212" s="99"/>
      <c r="R212" s="95">
        <f>SUM(R188:R211)</f>
        <v>424236275</v>
      </c>
      <c r="T212" s="214" t="s">
        <v>4963</v>
      </c>
      <c r="U212" s="214">
        <v>15943</v>
      </c>
      <c r="V212" s="113">
        <v>307.34415000000001</v>
      </c>
      <c r="W212" s="113">
        <f t="shared" si="34"/>
        <v>4899987.78345</v>
      </c>
      <c r="X212" s="99" t="s">
        <v>452</v>
      </c>
      <c r="AH212" s="149">
        <v>31</v>
      </c>
      <c r="AI212" s="149" t="s">
        <v>4718</v>
      </c>
      <c r="AJ212" s="189">
        <v>300000</v>
      </c>
      <c r="AK212" s="149">
        <v>0</v>
      </c>
      <c r="AL212" s="149">
        <f t="shared" ref="AL212:AL227" si="40">AK212+AL213</f>
        <v>99</v>
      </c>
      <c r="AM212" s="149">
        <f t="shared" ref="AM212:AM215" si="41">AJ212*AL212</f>
        <v>29700000</v>
      </c>
      <c r="AN212" s="149"/>
      <c r="AQ212" t="s">
        <v>25</v>
      </c>
    </row>
    <row r="213" spans="17:45" ht="30">
      <c r="Q213" s="99"/>
      <c r="R213" s="99" t="s">
        <v>6</v>
      </c>
      <c r="T213" s="214" t="s">
        <v>4986</v>
      </c>
      <c r="U213" s="214">
        <v>3741</v>
      </c>
      <c r="V213" s="113">
        <v>307.34415000000001</v>
      </c>
      <c r="W213" s="113">
        <f t="shared" si="34"/>
        <v>1149774.4651500001</v>
      </c>
      <c r="X213" s="99" t="s">
        <v>452</v>
      </c>
      <c r="AH213" s="121">
        <v>32</v>
      </c>
      <c r="AI213" s="121" t="s">
        <v>4718</v>
      </c>
      <c r="AJ213" s="79">
        <v>288936</v>
      </c>
      <c r="AK213" s="121">
        <v>3</v>
      </c>
      <c r="AL213" s="121">
        <f t="shared" si="40"/>
        <v>99</v>
      </c>
      <c r="AM213" s="121">
        <f t="shared" si="41"/>
        <v>28604664</v>
      </c>
      <c r="AN213" s="206" t="s">
        <v>4729</v>
      </c>
    </row>
    <row r="214" spans="17:45">
      <c r="S214" t="s">
        <v>25</v>
      </c>
      <c r="T214" s="214" t="s">
        <v>4992</v>
      </c>
      <c r="U214" s="214">
        <v>-6207</v>
      </c>
      <c r="V214" s="113">
        <v>322.214</v>
      </c>
      <c r="W214" s="113">
        <f t="shared" si="34"/>
        <v>-1999982.298</v>
      </c>
      <c r="X214" s="99" t="s">
        <v>751</v>
      </c>
      <c r="AH214" s="121">
        <v>33</v>
      </c>
      <c r="AI214" s="121" t="s">
        <v>4727</v>
      </c>
      <c r="AJ214" s="79">
        <v>17962491</v>
      </c>
      <c r="AK214" s="121">
        <v>1</v>
      </c>
      <c r="AL214" s="121">
        <f t="shared" si="40"/>
        <v>96</v>
      </c>
      <c r="AM214" s="121">
        <f t="shared" si="41"/>
        <v>1724399136</v>
      </c>
      <c r="AN214" s="121" t="s">
        <v>4734</v>
      </c>
    </row>
    <row r="215" spans="17:45">
      <c r="T215" s="214" t="s">
        <v>4992</v>
      </c>
      <c r="U215" s="214">
        <v>6207</v>
      </c>
      <c r="V215" s="113">
        <v>322.214</v>
      </c>
      <c r="W215" s="113">
        <f t="shared" si="34"/>
        <v>1999982.298</v>
      </c>
      <c r="X215" s="99" t="s">
        <v>4450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0"/>
        <v>95</v>
      </c>
      <c r="AM215" s="121">
        <f t="shared" si="41"/>
        <v>1744533545</v>
      </c>
      <c r="AN215" s="121" t="s">
        <v>4734</v>
      </c>
    </row>
    <row r="216" spans="17:45">
      <c r="Q216" s="99" t="s">
        <v>452</v>
      </c>
      <c r="R216" s="99"/>
      <c r="T216" s="214" t="s">
        <v>4935</v>
      </c>
      <c r="U216" s="214">
        <v>776</v>
      </c>
      <c r="V216" s="113">
        <v>322.214</v>
      </c>
      <c r="W216" s="113">
        <f t="shared" si="34"/>
        <v>250038.06400000001</v>
      </c>
      <c r="X216" s="99" t="s">
        <v>452</v>
      </c>
      <c r="AH216" s="121">
        <v>35</v>
      </c>
      <c r="AI216" s="121" t="s">
        <v>4740</v>
      </c>
      <c r="AJ216" s="79">
        <v>23622417</v>
      </c>
      <c r="AK216" s="121">
        <v>5</v>
      </c>
      <c r="AL216" s="121">
        <f t="shared" si="40"/>
        <v>94</v>
      </c>
      <c r="AM216" s="121">
        <f t="shared" ref="AM216:AM219" si="42">AJ216*AL216</f>
        <v>2220507198</v>
      </c>
      <c r="AN216" s="121" t="s">
        <v>4743</v>
      </c>
      <c r="AS216" t="s">
        <v>25</v>
      </c>
    </row>
    <row r="217" spans="17:45">
      <c r="Q217" s="99" t="s">
        <v>4443</v>
      </c>
      <c r="R217" s="95">
        <v>63115000</v>
      </c>
      <c r="T217" s="214" t="s">
        <v>5026</v>
      </c>
      <c r="U217" s="214">
        <v>1524</v>
      </c>
      <c r="V217" s="113">
        <v>314.95999999999998</v>
      </c>
      <c r="W217" s="113">
        <f t="shared" si="34"/>
        <v>479999.04</v>
      </c>
      <c r="X217" s="99" t="s">
        <v>1087</v>
      </c>
      <c r="AH217" s="121">
        <v>36</v>
      </c>
      <c r="AI217" s="121" t="s">
        <v>4756</v>
      </c>
      <c r="AJ217" s="79">
        <v>82496108</v>
      </c>
      <c r="AK217" s="121">
        <v>1</v>
      </c>
      <c r="AL217" s="121">
        <f t="shared" si="40"/>
        <v>89</v>
      </c>
      <c r="AM217" s="121">
        <f t="shared" si="42"/>
        <v>7342153612</v>
      </c>
      <c r="AN217" s="121" t="s">
        <v>4759</v>
      </c>
    </row>
    <row r="218" spans="17:45">
      <c r="Q218" s="99" t="s">
        <v>4497</v>
      </c>
      <c r="R218" s="95">
        <v>13300000</v>
      </c>
      <c r="T218" s="214" t="s">
        <v>5035</v>
      </c>
      <c r="U218" s="214">
        <v>4435</v>
      </c>
      <c r="V218" s="113">
        <v>316.4375</v>
      </c>
      <c r="W218" s="113">
        <f t="shared" si="34"/>
        <v>1403400.3125</v>
      </c>
      <c r="X218" s="99" t="s">
        <v>452</v>
      </c>
      <c r="AH218" s="121">
        <v>37</v>
      </c>
      <c r="AI218" s="121" t="s">
        <v>4758</v>
      </c>
      <c r="AJ218" s="79">
        <v>74657561</v>
      </c>
      <c r="AK218" s="121">
        <v>16</v>
      </c>
      <c r="AL218" s="121">
        <f t="shared" si="40"/>
        <v>88</v>
      </c>
      <c r="AM218" s="121">
        <f t="shared" si="42"/>
        <v>6569865368</v>
      </c>
      <c r="AN218" s="121" t="s">
        <v>4765</v>
      </c>
    </row>
    <row r="219" spans="17:45">
      <c r="Q219" s="99" t="s">
        <v>4505</v>
      </c>
      <c r="R219" s="95">
        <v>2269000</v>
      </c>
      <c r="T219" s="214" t="s">
        <v>5043</v>
      </c>
      <c r="U219" s="214">
        <v>624</v>
      </c>
      <c r="V219" s="113">
        <v>320.5</v>
      </c>
      <c r="W219" s="113">
        <f t="shared" si="34"/>
        <v>199992</v>
      </c>
      <c r="X219" s="99" t="s">
        <v>452</v>
      </c>
      <c r="AH219" s="99">
        <v>38</v>
      </c>
      <c r="AI219" s="99" t="s">
        <v>4846</v>
      </c>
      <c r="AJ219" s="117">
        <v>665000</v>
      </c>
      <c r="AK219" s="99">
        <v>0</v>
      </c>
      <c r="AL219" s="99">
        <f t="shared" si="40"/>
        <v>72</v>
      </c>
      <c r="AM219" s="20">
        <f t="shared" si="42"/>
        <v>47880000</v>
      </c>
      <c r="AN219" s="99"/>
    </row>
    <row r="220" spans="17:45">
      <c r="Q220" s="99" t="s">
        <v>4622</v>
      </c>
      <c r="R220" s="95">
        <v>25071612</v>
      </c>
      <c r="T220" s="168"/>
      <c r="U220" s="168"/>
      <c r="V220" s="113"/>
      <c r="W220" s="113"/>
      <c r="X220" s="99"/>
      <c r="AH220" s="149">
        <v>39</v>
      </c>
      <c r="AI220" s="149" t="s">
        <v>4846</v>
      </c>
      <c r="AJ220" s="189">
        <v>665000</v>
      </c>
      <c r="AK220" s="149">
        <v>4</v>
      </c>
      <c r="AL220" s="196">
        <f t="shared" si="40"/>
        <v>72</v>
      </c>
      <c r="AM220" s="196">
        <f t="shared" ref="AM220:AM221" si="43">AJ220*AL220</f>
        <v>47880000</v>
      </c>
      <c r="AN220" s="196"/>
    </row>
    <row r="221" spans="17:45">
      <c r="Q221" s="99" t="s">
        <v>4631</v>
      </c>
      <c r="R221" s="95">
        <v>42236984</v>
      </c>
      <c r="T221" s="168"/>
      <c r="U221" s="168">
        <f>SUM(U150:U220)</f>
        <v>3564253</v>
      </c>
      <c r="V221" s="99"/>
      <c r="W221" s="99"/>
      <c r="X221" s="99"/>
      <c r="AH221" s="20">
        <v>40</v>
      </c>
      <c r="AI221" s="20" t="s">
        <v>4860</v>
      </c>
      <c r="AJ221" s="117">
        <v>2000000</v>
      </c>
      <c r="AK221" s="20">
        <v>1</v>
      </c>
      <c r="AL221" s="99">
        <f t="shared" si="40"/>
        <v>68</v>
      </c>
      <c r="AM221" s="20">
        <f t="shared" si="43"/>
        <v>136000000</v>
      </c>
      <c r="AN221" s="99"/>
    </row>
    <row r="222" spans="17:45">
      <c r="Q222" s="99" t="s">
        <v>4633</v>
      </c>
      <c r="R222" s="95">
        <v>19663646</v>
      </c>
      <c r="T222" s="99"/>
      <c r="U222" s="99" t="s">
        <v>6</v>
      </c>
      <c r="V222" s="99"/>
      <c r="W222" s="99"/>
      <c r="X222" s="99"/>
      <c r="AH222" s="20">
        <v>41</v>
      </c>
      <c r="AI222" s="20" t="s">
        <v>4865</v>
      </c>
      <c r="AJ222" s="117">
        <v>-2060725</v>
      </c>
      <c r="AK222" s="20">
        <v>0</v>
      </c>
      <c r="AL222" s="99">
        <f t="shared" si="40"/>
        <v>67</v>
      </c>
      <c r="AM222" s="20">
        <f t="shared" ref="AM222:AM227" si="44">AJ222*AL222</f>
        <v>-138068575</v>
      </c>
      <c r="AN222" s="99" t="s">
        <v>4866</v>
      </c>
    </row>
    <row r="223" spans="17:45">
      <c r="Q223" s="99" t="s">
        <v>4660</v>
      </c>
      <c r="R223" s="95">
        <v>4374525</v>
      </c>
      <c r="T223" s="201" t="s">
        <v>4487</v>
      </c>
      <c r="AH223" s="149">
        <v>42</v>
      </c>
      <c r="AI223" s="149" t="s">
        <v>4865</v>
      </c>
      <c r="AJ223" s="189">
        <v>-433375</v>
      </c>
      <c r="AK223" s="149">
        <v>0</v>
      </c>
      <c r="AL223" s="149">
        <f t="shared" si="40"/>
        <v>67</v>
      </c>
      <c r="AM223" s="149">
        <f t="shared" si="44"/>
        <v>-29036125</v>
      </c>
      <c r="AN223" s="149" t="s">
        <v>4867</v>
      </c>
    </row>
    <row r="224" spans="17:45">
      <c r="Q224" s="99" t="s">
        <v>4675</v>
      </c>
      <c r="R224" s="95">
        <v>6550580</v>
      </c>
      <c r="T224" s="200">
        <f>R160/U221</f>
        <v>320.34016143074024</v>
      </c>
      <c r="Z224" t="s">
        <v>25</v>
      </c>
      <c r="AH224" s="20">
        <v>43</v>
      </c>
      <c r="AI224" s="20" t="s">
        <v>4865</v>
      </c>
      <c r="AJ224" s="117">
        <v>28000000</v>
      </c>
      <c r="AK224" s="20">
        <v>1</v>
      </c>
      <c r="AL224" s="99">
        <f t="shared" si="40"/>
        <v>67</v>
      </c>
      <c r="AM224" s="20">
        <f t="shared" si="44"/>
        <v>1876000000</v>
      </c>
      <c r="AN224" s="99" t="s">
        <v>3891</v>
      </c>
    </row>
    <row r="225" spans="17:44">
      <c r="Q225" s="99" t="s">
        <v>4678</v>
      </c>
      <c r="R225" s="95">
        <v>7054895</v>
      </c>
      <c r="W225" s="114"/>
      <c r="AH225" s="20">
        <v>44</v>
      </c>
      <c r="AI225" s="20" t="s">
        <v>4874</v>
      </c>
      <c r="AJ225" s="117">
        <v>160000</v>
      </c>
      <c r="AK225" s="20">
        <v>0</v>
      </c>
      <c r="AL225" s="99">
        <f t="shared" si="40"/>
        <v>66</v>
      </c>
      <c r="AM225" s="20">
        <f t="shared" si="44"/>
        <v>10560000</v>
      </c>
      <c r="AN225" s="99"/>
    </row>
    <row r="226" spans="17:44">
      <c r="Q226" s="99" t="s">
        <v>4703</v>
      </c>
      <c r="R226" s="95">
        <v>2145814</v>
      </c>
      <c r="U226" s="96" t="s">
        <v>267</v>
      </c>
      <c r="V226" t="s">
        <v>4488</v>
      </c>
      <c r="X226" t="s">
        <v>25</v>
      </c>
      <c r="Y226" t="s">
        <v>25</v>
      </c>
      <c r="AH226" s="149">
        <v>45</v>
      </c>
      <c r="AI226" s="149" t="s">
        <v>4874</v>
      </c>
      <c r="AJ226" s="189">
        <v>70000</v>
      </c>
      <c r="AK226" s="149">
        <v>9</v>
      </c>
      <c r="AL226" s="149">
        <f t="shared" si="40"/>
        <v>66</v>
      </c>
      <c r="AM226" s="149">
        <f t="shared" si="44"/>
        <v>4620000</v>
      </c>
      <c r="AN226" s="149"/>
    </row>
    <row r="227" spans="17:44">
      <c r="Q227" s="99" t="s">
        <v>4715</v>
      </c>
      <c r="R227" s="95">
        <v>4369730</v>
      </c>
      <c r="T227" s="114"/>
      <c r="U227" s="113">
        <v>200000</v>
      </c>
      <c r="V227">
        <f>U227/T224</f>
        <v>624.33632769221595</v>
      </c>
      <c r="X227" t="s">
        <v>25</v>
      </c>
      <c r="AH227" s="20">
        <v>46</v>
      </c>
      <c r="AI227" s="20" t="s">
        <v>4883</v>
      </c>
      <c r="AJ227" s="117">
        <v>850000</v>
      </c>
      <c r="AK227" s="20">
        <v>0</v>
      </c>
      <c r="AL227" s="99">
        <f t="shared" si="40"/>
        <v>57</v>
      </c>
      <c r="AM227" s="20">
        <f t="shared" si="44"/>
        <v>48450000</v>
      </c>
      <c r="AN227" s="99"/>
    </row>
    <row r="228" spans="17:44">
      <c r="Q228" s="99" t="s">
        <v>4718</v>
      </c>
      <c r="R228" s="95">
        <v>8739459</v>
      </c>
      <c r="X228" t="s">
        <v>25</v>
      </c>
      <c r="Y228" s="96"/>
      <c r="AH228" s="196">
        <v>47</v>
      </c>
      <c r="AI228" s="196" t="s">
        <v>4883</v>
      </c>
      <c r="AJ228" s="197">
        <v>20000</v>
      </c>
      <c r="AK228" s="196">
        <v>4</v>
      </c>
      <c r="AL228" s="196">
        <f t="shared" ref="AL228:AL249" si="45">AK228+AL229</f>
        <v>57</v>
      </c>
      <c r="AM228" s="196">
        <f t="shared" ref="AM228:AM249" si="46">AJ228*AL228</f>
        <v>1140000</v>
      </c>
      <c r="AN228" s="196"/>
      <c r="AQ228" t="s">
        <v>25</v>
      </c>
    </row>
    <row r="229" spans="17:44">
      <c r="Q229" s="99" t="s">
        <v>4727</v>
      </c>
      <c r="R229" s="95">
        <v>6667654</v>
      </c>
      <c r="W229" s="224"/>
      <c r="X229" s="96" t="s">
        <v>25</v>
      </c>
      <c r="Y229" t="s">
        <v>25</v>
      </c>
      <c r="AH229" s="196">
        <v>48</v>
      </c>
      <c r="AI229" s="196" t="s">
        <v>4896</v>
      </c>
      <c r="AJ229" s="197">
        <v>30000000</v>
      </c>
      <c r="AK229" s="196">
        <v>27</v>
      </c>
      <c r="AL229" s="196">
        <f t="shared" si="45"/>
        <v>53</v>
      </c>
      <c r="AM229" s="196">
        <f t="shared" si="46"/>
        <v>1590000000</v>
      </c>
      <c r="AN229" s="196" t="s">
        <v>4898</v>
      </c>
    </row>
    <row r="230" spans="17:44">
      <c r="Q230" s="99" t="s">
        <v>3684</v>
      </c>
      <c r="R230" s="95">
        <v>8981245</v>
      </c>
      <c r="AH230" s="20">
        <v>49</v>
      </c>
      <c r="AI230" s="20" t="s">
        <v>4986</v>
      </c>
      <c r="AJ230" s="117">
        <v>1100000</v>
      </c>
      <c r="AK230" s="20">
        <v>1</v>
      </c>
      <c r="AL230" s="20">
        <f t="shared" si="45"/>
        <v>26</v>
      </c>
      <c r="AM230" s="20">
        <f t="shared" si="46"/>
        <v>28600000</v>
      </c>
      <c r="AN230" s="20"/>
    </row>
    <row r="231" spans="17:44">
      <c r="Q231" s="99" t="s">
        <v>4740</v>
      </c>
      <c r="R231" s="95">
        <v>9181756</v>
      </c>
      <c r="X231" t="s">
        <v>25</v>
      </c>
      <c r="AH231" s="20">
        <v>50</v>
      </c>
      <c r="AI231" s="20" t="s">
        <v>4988</v>
      </c>
      <c r="AJ231" s="117">
        <v>450000</v>
      </c>
      <c r="AK231" s="20">
        <v>0</v>
      </c>
      <c r="AL231" s="20">
        <f t="shared" si="45"/>
        <v>25</v>
      </c>
      <c r="AM231" s="20">
        <f t="shared" si="46"/>
        <v>11250000</v>
      </c>
      <c r="AN231" s="20"/>
    </row>
    <row r="232" spans="17:44" ht="60">
      <c r="Q232" s="99" t="s">
        <v>4744</v>
      </c>
      <c r="R232" s="95">
        <v>11811208</v>
      </c>
      <c r="T232" s="22" t="s">
        <v>4471</v>
      </c>
      <c r="V232" s="224"/>
      <c r="AH232" s="149">
        <v>51</v>
      </c>
      <c r="AI232" s="149" t="s">
        <v>4988</v>
      </c>
      <c r="AJ232" s="189">
        <v>550000</v>
      </c>
      <c r="AK232" s="149">
        <v>1</v>
      </c>
      <c r="AL232" s="149">
        <f t="shared" si="45"/>
        <v>25</v>
      </c>
      <c r="AM232" s="149">
        <f t="shared" si="46"/>
        <v>13750000</v>
      </c>
      <c r="AN232" s="149"/>
    </row>
    <row r="233" spans="17:44" ht="45">
      <c r="Q233" s="99" t="s">
        <v>4758</v>
      </c>
      <c r="R233" s="95">
        <v>41248054</v>
      </c>
      <c r="T233" s="22" t="s">
        <v>4472</v>
      </c>
      <c r="AH233" s="149">
        <v>52</v>
      </c>
      <c r="AI233" s="149" t="s">
        <v>4990</v>
      </c>
      <c r="AJ233" s="189">
        <v>1000000</v>
      </c>
      <c r="AK233" s="149">
        <v>8</v>
      </c>
      <c r="AL233" s="149">
        <f t="shared" si="45"/>
        <v>24</v>
      </c>
      <c r="AM233" s="149">
        <f t="shared" si="46"/>
        <v>24000000</v>
      </c>
      <c r="AN233" s="149"/>
    </row>
    <row r="234" spans="17:44">
      <c r="Q234" s="99" t="s">
        <v>4766</v>
      </c>
      <c r="R234" s="95">
        <v>37328780</v>
      </c>
      <c r="AH234" s="20">
        <v>53</v>
      </c>
      <c r="AI234" s="20" t="s">
        <v>5000</v>
      </c>
      <c r="AJ234" s="117">
        <v>-2668880</v>
      </c>
      <c r="AK234" s="20">
        <v>0</v>
      </c>
      <c r="AL234" s="20">
        <f t="shared" si="45"/>
        <v>16</v>
      </c>
      <c r="AM234" s="20">
        <f t="shared" si="46"/>
        <v>-42702080</v>
      </c>
      <c r="AN234" s="20" t="s">
        <v>5002</v>
      </c>
    </row>
    <row r="235" spans="17:44">
      <c r="Q235" s="99" t="s">
        <v>4774</v>
      </c>
      <c r="R235" s="95">
        <v>50000000</v>
      </c>
      <c r="AH235" s="149">
        <v>54</v>
      </c>
      <c r="AI235" s="149" t="s">
        <v>5000</v>
      </c>
      <c r="AJ235" s="189">
        <v>-1528620</v>
      </c>
      <c r="AK235" s="149">
        <v>0</v>
      </c>
      <c r="AL235" s="149">
        <f t="shared" si="45"/>
        <v>16</v>
      </c>
      <c r="AM235" s="149">
        <f t="shared" si="46"/>
        <v>-24457920</v>
      </c>
      <c r="AN235" s="149" t="s">
        <v>5002</v>
      </c>
    </row>
    <row r="236" spans="17:44">
      <c r="Q236" s="99" t="s">
        <v>4846</v>
      </c>
      <c r="R236" s="95">
        <v>68656</v>
      </c>
      <c r="T236" s="99" t="s">
        <v>4489</v>
      </c>
      <c r="U236" s="99" t="s">
        <v>4460</v>
      </c>
      <c r="V236" s="99" t="s">
        <v>953</v>
      </c>
      <c r="AH236" s="20">
        <v>55</v>
      </c>
      <c r="AI236" s="20" t="s">
        <v>5000</v>
      </c>
      <c r="AJ236" s="117">
        <v>50000000</v>
      </c>
      <c r="AK236" s="20">
        <v>4</v>
      </c>
      <c r="AL236" s="20">
        <f t="shared" si="45"/>
        <v>16</v>
      </c>
      <c r="AM236" s="20">
        <f t="shared" si="46"/>
        <v>800000000</v>
      </c>
      <c r="AN236" s="20"/>
      <c r="AR236" t="s">
        <v>25</v>
      </c>
    </row>
    <row r="237" spans="17:44">
      <c r="Q237" s="99" t="s">
        <v>4860</v>
      </c>
      <c r="R237" s="95">
        <v>4000236</v>
      </c>
      <c r="T237" s="95">
        <f>R181+R212+R253</f>
        <v>891482785</v>
      </c>
      <c r="U237" s="95">
        <f>R160</f>
        <v>1141773381.4000001</v>
      </c>
      <c r="V237" s="95">
        <f>U237-T237</f>
        <v>250290596.4000001</v>
      </c>
      <c r="AH237" s="20">
        <v>56</v>
      </c>
      <c r="AI237" s="20" t="s">
        <v>5007</v>
      </c>
      <c r="AJ237" s="117">
        <v>400000</v>
      </c>
      <c r="AK237" s="20">
        <v>4</v>
      </c>
      <c r="AL237" s="20">
        <f t="shared" ref="AL237:AL248" si="47">AK237+AL238</f>
        <v>12</v>
      </c>
      <c r="AM237" s="20">
        <f t="shared" ref="AM237:AM248" si="48">AJ237*AL237</f>
        <v>4800000</v>
      </c>
      <c r="AN237" s="20"/>
      <c r="AR237" t="s">
        <v>25</v>
      </c>
    </row>
    <row r="238" spans="17:44">
      <c r="Q238" s="99" t="s">
        <v>4860</v>
      </c>
      <c r="R238" s="95">
        <v>2250000</v>
      </c>
      <c r="AH238" s="20">
        <v>57</v>
      </c>
      <c r="AI238" s="20" t="s">
        <v>5026</v>
      </c>
      <c r="AJ238" s="117">
        <v>2000000</v>
      </c>
      <c r="AK238" s="20">
        <v>3</v>
      </c>
      <c r="AL238" s="20">
        <f t="shared" si="47"/>
        <v>8</v>
      </c>
      <c r="AM238" s="20">
        <f t="shared" si="48"/>
        <v>16000000</v>
      </c>
      <c r="AN238" s="20"/>
    </row>
    <row r="239" spans="17:44">
      <c r="Q239" s="99" t="s">
        <v>4865</v>
      </c>
      <c r="R239" s="95">
        <v>-2512200</v>
      </c>
      <c r="AH239" s="20">
        <v>58</v>
      </c>
      <c r="AI239" s="20" t="s">
        <v>5029</v>
      </c>
      <c r="AJ239" s="117">
        <v>100000</v>
      </c>
      <c r="AK239" s="20">
        <v>4</v>
      </c>
      <c r="AL239" s="20">
        <f t="shared" si="47"/>
        <v>5</v>
      </c>
      <c r="AM239" s="20">
        <f t="shared" si="48"/>
        <v>500000</v>
      </c>
      <c r="AN239" s="20" t="s">
        <v>3891</v>
      </c>
    </row>
    <row r="240" spans="17:44">
      <c r="Q240" s="99" t="s">
        <v>4874</v>
      </c>
      <c r="R240" s="95">
        <v>300000</v>
      </c>
      <c r="AH240" s="20">
        <v>59</v>
      </c>
      <c r="AI240" s="20" t="s">
        <v>5043</v>
      </c>
      <c r="AJ240" s="117">
        <v>100000</v>
      </c>
      <c r="AK240" s="20">
        <v>1</v>
      </c>
      <c r="AL240" s="20">
        <f t="shared" si="47"/>
        <v>1</v>
      </c>
      <c r="AM240" s="20">
        <f t="shared" si="48"/>
        <v>100000</v>
      </c>
      <c r="AN240" s="20"/>
    </row>
    <row r="241" spans="17:43">
      <c r="Q241" s="99" t="s">
        <v>981</v>
      </c>
      <c r="R241" s="95">
        <v>1100000</v>
      </c>
      <c r="AH241" s="20"/>
      <c r="AI241" s="20"/>
      <c r="AJ241" s="117"/>
      <c r="AK241" s="20"/>
      <c r="AL241" s="20">
        <f t="shared" si="47"/>
        <v>0</v>
      </c>
      <c r="AM241" s="20">
        <f t="shared" si="48"/>
        <v>0</v>
      </c>
      <c r="AN241" s="20"/>
    </row>
    <row r="242" spans="17:43">
      <c r="Q242" s="99" t="s">
        <v>4883</v>
      </c>
      <c r="R242" s="95">
        <v>890000</v>
      </c>
      <c r="T242" t="s">
        <v>25</v>
      </c>
      <c r="AH242" s="20"/>
      <c r="AI242" s="20"/>
      <c r="AJ242" s="117"/>
      <c r="AK242" s="20"/>
      <c r="AL242" s="20">
        <f t="shared" si="47"/>
        <v>0</v>
      </c>
      <c r="AM242" s="20">
        <f t="shared" si="48"/>
        <v>0</v>
      </c>
      <c r="AN242" s="20"/>
    </row>
    <row r="243" spans="17:43">
      <c r="Q243" s="99" t="s">
        <v>4907</v>
      </c>
      <c r="R243" s="95">
        <v>1000000</v>
      </c>
      <c r="T243" t="s">
        <v>25</v>
      </c>
      <c r="AH243" s="20"/>
      <c r="AI243" s="20"/>
      <c r="AJ243" s="117"/>
      <c r="AK243" s="20"/>
      <c r="AL243" s="20">
        <f t="shared" si="47"/>
        <v>0</v>
      </c>
      <c r="AM243" s="20">
        <f t="shared" si="48"/>
        <v>0</v>
      </c>
      <c r="AN243" s="20"/>
    </row>
    <row r="244" spans="17:43">
      <c r="Q244" s="99" t="s">
        <v>4908</v>
      </c>
      <c r="R244" s="95">
        <v>45436311</v>
      </c>
      <c r="AH244" s="20"/>
      <c r="AI244" s="20"/>
      <c r="AJ244" s="117"/>
      <c r="AK244" s="20"/>
      <c r="AL244" s="20">
        <f t="shared" si="47"/>
        <v>0</v>
      </c>
      <c r="AM244" s="20">
        <f t="shared" si="48"/>
        <v>0</v>
      </c>
      <c r="AN244" s="20"/>
    </row>
    <row r="245" spans="17:43">
      <c r="Q245" s="99" t="s">
        <v>4908</v>
      </c>
      <c r="R245" s="95">
        <v>-3500000</v>
      </c>
      <c r="T245" t="s">
        <v>25</v>
      </c>
      <c r="AH245" s="20"/>
      <c r="AI245" s="20"/>
      <c r="AJ245" s="117"/>
      <c r="AK245" s="20"/>
      <c r="AL245" s="20">
        <f t="shared" si="47"/>
        <v>0</v>
      </c>
      <c r="AM245" s="20">
        <f t="shared" si="48"/>
        <v>0</v>
      </c>
      <c r="AN245" s="20"/>
    </row>
    <row r="246" spans="17:43">
      <c r="Q246" s="99" t="s">
        <v>4926</v>
      </c>
      <c r="R246" s="95">
        <v>2520000</v>
      </c>
      <c r="T246" t="s">
        <v>25</v>
      </c>
      <c r="AH246" s="20"/>
      <c r="AI246" s="20"/>
      <c r="AJ246" s="117"/>
      <c r="AK246" s="20"/>
      <c r="AL246" s="20">
        <f t="shared" si="47"/>
        <v>0</v>
      </c>
      <c r="AM246" s="20">
        <f t="shared" si="48"/>
        <v>0</v>
      </c>
      <c r="AN246" s="20"/>
    </row>
    <row r="247" spans="17:43">
      <c r="Q247" s="99" t="s">
        <v>4963</v>
      </c>
      <c r="R247" s="95">
        <v>4900000</v>
      </c>
      <c r="AH247" s="20"/>
      <c r="AI247" s="20"/>
      <c r="AJ247" s="117"/>
      <c r="AK247" s="20"/>
      <c r="AL247" s="20">
        <f t="shared" si="47"/>
        <v>0</v>
      </c>
      <c r="AM247" s="20">
        <f t="shared" si="48"/>
        <v>0</v>
      </c>
      <c r="AN247" s="20"/>
    </row>
    <row r="248" spans="17:43">
      <c r="Q248" s="99" t="s">
        <v>4986</v>
      </c>
      <c r="R248" s="95">
        <v>1150000</v>
      </c>
      <c r="AH248" s="99"/>
      <c r="AI248" s="99"/>
      <c r="AJ248" s="117"/>
      <c r="AK248" s="99"/>
      <c r="AL248" s="20">
        <f t="shared" si="47"/>
        <v>0</v>
      </c>
      <c r="AM248" s="20">
        <f t="shared" si="48"/>
        <v>0</v>
      </c>
      <c r="AN248" s="20"/>
    </row>
    <row r="249" spans="17:43">
      <c r="Q249" s="99" t="s">
        <v>4935</v>
      </c>
      <c r="R249" s="95">
        <v>250000</v>
      </c>
      <c r="T249" t="s">
        <v>25</v>
      </c>
      <c r="AH249" s="99"/>
      <c r="AI249" s="99"/>
      <c r="AJ249" s="117"/>
      <c r="AK249" s="99"/>
      <c r="AL249" s="99">
        <f t="shared" si="45"/>
        <v>0</v>
      </c>
      <c r="AM249" s="99">
        <f t="shared" si="46"/>
        <v>0</v>
      </c>
      <c r="AN249" s="99"/>
      <c r="AP249" t="s">
        <v>25</v>
      </c>
    </row>
    <row r="250" spans="17:43">
      <c r="Q250" s="99" t="s">
        <v>5035</v>
      </c>
      <c r="R250" s="95">
        <v>1403460</v>
      </c>
      <c r="T250" t="s">
        <v>25</v>
      </c>
      <c r="Y250" t="s">
        <v>25</v>
      </c>
      <c r="AH250" s="99"/>
      <c r="AI250" s="99"/>
      <c r="AJ250" s="95">
        <f>SUM(AJ182:AJ249)</f>
        <v>358019598</v>
      </c>
      <c r="AK250" s="99"/>
      <c r="AL250" s="99"/>
      <c r="AM250" s="99">
        <f>SUM(AM182:AM249)</f>
        <v>30801804767</v>
      </c>
      <c r="AN250" s="95">
        <f>AM250*AN168/31</f>
        <v>16560441.291986743</v>
      </c>
    </row>
    <row r="251" spans="17:43">
      <c r="Q251" s="99" t="s">
        <v>5043</v>
      </c>
      <c r="R251" s="95">
        <v>200000</v>
      </c>
      <c r="Y251" t="s">
        <v>25</v>
      </c>
      <c r="AJ251" t="s">
        <v>4059</v>
      </c>
      <c r="AM251" t="s">
        <v>284</v>
      </c>
      <c r="AN251" t="s">
        <v>943</v>
      </c>
      <c r="AQ251" t="s">
        <v>25</v>
      </c>
    </row>
    <row r="252" spans="17:43">
      <c r="Q252" s="99"/>
      <c r="R252" s="95"/>
      <c r="T252" t="s">
        <v>25</v>
      </c>
    </row>
    <row r="253" spans="17:43">
      <c r="Q253" s="99"/>
      <c r="R253" s="95">
        <f>SUM(R217:R252)</f>
        <v>423566405</v>
      </c>
      <c r="T253" t="s">
        <v>25</v>
      </c>
      <c r="AI253" t="s">
        <v>4061</v>
      </c>
      <c r="AJ253" s="114">
        <f>AJ250+AN250</f>
        <v>374580039.29198676</v>
      </c>
    </row>
    <row r="254" spans="17:43">
      <c r="Q254" s="99"/>
      <c r="R254" s="99" t="s">
        <v>6</v>
      </c>
      <c r="AI254" t="s">
        <v>4064</v>
      </c>
      <c r="AJ254" s="114">
        <f>SUM(N20:N29)</f>
        <v>443062033.30000001</v>
      </c>
    </row>
    <row r="255" spans="17:43">
      <c r="AI255" t="s">
        <v>4136</v>
      </c>
      <c r="AJ255" s="114">
        <f>AJ254-AJ250</f>
        <v>85042435.300000012</v>
      </c>
    </row>
    <row r="256" spans="17:43">
      <c r="AI256" t="s">
        <v>943</v>
      </c>
      <c r="AJ256" s="114">
        <f>AN250</f>
        <v>16560441.291986743</v>
      </c>
    </row>
    <row r="257" spans="20:40">
      <c r="T257" t="s">
        <v>25</v>
      </c>
      <c r="AI257" t="s">
        <v>4065</v>
      </c>
      <c r="AJ257" s="114">
        <f>AJ255-AJ256</f>
        <v>68481994.008013263</v>
      </c>
      <c r="AN257" t="s">
        <v>25</v>
      </c>
    </row>
    <row r="258" spans="20:40">
      <c r="T258" t="s">
        <v>25</v>
      </c>
      <c r="AN258" t="s">
        <v>25</v>
      </c>
    </row>
    <row r="261" spans="20:40">
      <c r="AN261" t="s">
        <v>25</v>
      </c>
    </row>
    <row r="267" spans="20:40">
      <c r="Y267" t="s">
        <v>25</v>
      </c>
    </row>
    <row r="295" spans="16:16">
      <c r="P295" t="s">
        <v>25</v>
      </c>
    </row>
  </sheetData>
  <conditionalFormatting sqref="G3:G6">
    <cfRule type="cellIs" dxfId="11" priority="14" operator="greaterThan">
      <formula>0</formula>
    </cfRule>
  </conditionalFormatting>
  <conditionalFormatting sqref="G2:G62">
    <cfRule type="cellIs" dxfId="10" priority="13" operator="greaterThan">
      <formula>0</formula>
    </cfRule>
  </conditionalFormatting>
  <conditionalFormatting sqref="G67:G74 G1:G65 G123:G1048576 G111:G114 G116 G97:G104">
    <cfRule type="cellIs" dxfId="9" priority="12" operator="lessThan">
      <formula>0</formula>
    </cfRule>
  </conditionalFormatting>
  <conditionalFormatting sqref="G106">
    <cfRule type="cellIs" dxfId="8" priority="3" operator="lessThan">
      <formula>0</formula>
    </cfRule>
  </conditionalFormatting>
  <conditionalFormatting sqref="G107 G109">
    <cfRule type="cellIs" dxfId="7" priority="4" operator="lessThan">
      <formula>0</formula>
    </cfRule>
  </conditionalFormatting>
  <conditionalFormatting sqref="G110">
    <cfRule type="cellIs" dxfId="6" priority="1" operator="lessThan">
      <formula>0</formula>
    </cfRule>
  </conditionalFormatting>
  <conditionalFormatting sqref="G105">
    <cfRule type="cellIs" dxfId="5" priority="5" operator="lessThan">
      <formula>0</formula>
    </cfRule>
  </conditionalFormatting>
  <conditionalFormatting sqref="G108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92 S98 S102 S113 S89 S36 G119 P22 S106 S108 S118 S1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2019-05-22T09:47:06Z</dcterms:modified>
</cp:coreProperties>
</file>