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AL89" i="18" l="1"/>
  <c r="AL90" i="18"/>
  <c r="AL91" i="18"/>
  <c r="AL92" i="18"/>
  <c r="AL93" i="18"/>
  <c r="AL94" i="18"/>
  <c r="AL95" i="18"/>
  <c r="AK95" i="18"/>
  <c r="AK94" i="18" s="1"/>
  <c r="AK93" i="18" s="1"/>
  <c r="AK92" i="18" s="1"/>
  <c r="AK91" i="18" s="1"/>
  <c r="AK90" i="18" s="1"/>
  <c r="AK89" i="18" s="1"/>
  <c r="AK88" i="18" s="1"/>
  <c r="L19" i="18"/>
  <c r="D56" i="51"/>
  <c r="W43" i="18" l="1"/>
  <c r="X43" i="18"/>
  <c r="P26" i="18" l="1"/>
  <c r="N26" i="18" s="1"/>
  <c r="P21" i="18"/>
  <c r="N21" i="18" s="1"/>
  <c r="N43" i="18"/>
  <c r="Q73" i="18" l="1"/>
  <c r="P24" i="18" l="1"/>
  <c r="N24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P27" i="18"/>
  <c r="S20" i="18"/>
  <c r="S21" i="18" s="1"/>
  <c r="P25" i="18" l="1"/>
  <c r="N25" i="18" s="1"/>
  <c r="N27" i="18" l="1"/>
  <c r="N47" i="18"/>
  <c r="AI97" i="18" l="1"/>
  <c r="N46" i="18"/>
  <c r="D108" i="50" l="1"/>
  <c r="P22" i="18" l="1"/>
  <c r="N45" i="18"/>
  <c r="C8" i="36" l="1"/>
  <c r="N40" i="18" l="1"/>
  <c r="AI139" i="18" l="1"/>
  <c r="R22" i="33" l="1"/>
  <c r="N22" i="33"/>
  <c r="C22" i="33"/>
  <c r="E22" i="33"/>
  <c r="F22" i="33"/>
  <c r="J22" i="33"/>
  <c r="AK96" i="18"/>
  <c r="AL96" i="18" l="1"/>
  <c r="B22" i="33"/>
  <c r="I22" i="33"/>
  <c r="L22" i="33"/>
  <c r="H22" i="33"/>
  <c r="D22" i="33"/>
  <c r="K22" i="33"/>
  <c r="G22" i="33"/>
  <c r="AK137" i="18" l="1"/>
  <c r="AK87" i="18" l="1"/>
  <c r="AL88" i="18"/>
  <c r="AL137" i="18"/>
  <c r="AK136" i="18"/>
  <c r="S22" i="18"/>
  <c r="S23" i="18" s="1"/>
  <c r="S24" i="18" s="1"/>
  <c r="P20" i="18"/>
  <c r="N20" i="18" s="1"/>
  <c r="N44" i="18"/>
  <c r="AK86" i="18" l="1"/>
  <c r="AL87" i="18"/>
  <c r="AK135" i="18"/>
  <c r="AL136" i="18"/>
  <c r="AK85" i="18" l="1"/>
  <c r="AL86" i="18"/>
  <c r="S25" i="18"/>
  <c r="S26" i="18" s="1"/>
  <c r="S27" i="18" s="1"/>
  <c r="S28" i="18" s="1"/>
  <c r="S29" i="18" s="1"/>
  <c r="S30" i="18" s="1"/>
  <c r="S31" i="18" s="1"/>
  <c r="AK134" i="18"/>
  <c r="AL135" i="18"/>
  <c r="AK84" i="18" l="1"/>
  <c r="AL85" i="18"/>
  <c r="S32" i="18"/>
  <c r="S33" i="18" s="1"/>
  <c r="AK133" i="18"/>
  <c r="AL134" i="18"/>
  <c r="R73" i="18"/>
  <c r="AK83" i="18" l="1"/>
  <c r="AL84" i="18"/>
  <c r="AK132" i="18"/>
  <c r="AL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82" i="18" l="1"/>
  <c r="AL83" i="18"/>
  <c r="AK131" i="18"/>
  <c r="AL132" i="18"/>
  <c r="D73" i="48"/>
  <c r="N22" i="18"/>
  <c r="AK81" i="18" l="1"/>
  <c r="AL82" i="18"/>
  <c r="AK130" i="18"/>
  <c r="AL131" i="18"/>
  <c r="N34" i="18"/>
  <c r="AK80" i="18" l="1"/>
  <c r="AL80" i="18" s="1"/>
  <c r="AL81" i="18"/>
  <c r="AK129" i="18"/>
  <c r="AL130" i="18"/>
  <c r="P52" i="18"/>
  <c r="AK128" i="18" l="1"/>
  <c r="AL129" i="18"/>
  <c r="AK127" i="18" l="1"/>
  <c r="AL128" i="18"/>
  <c r="N23" i="33"/>
  <c r="D23" i="33" s="1"/>
  <c r="AK126" i="18" l="1"/>
  <c r="AL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K125" i="18" l="1"/>
  <c r="AL126" i="18"/>
  <c r="P19" i="18"/>
  <c r="N19" i="18" s="1"/>
  <c r="Q35" i="18" s="1"/>
  <c r="B263" i="15"/>
  <c r="AI143" i="18" l="1"/>
  <c r="AI144" i="18" s="1"/>
  <c r="AL125" i="18"/>
  <c r="AK124" i="18"/>
  <c r="S45" i="18"/>
  <c r="S46" i="18" s="1"/>
  <c r="AK123" i="18" l="1"/>
  <c r="AL124" i="18"/>
  <c r="S47" i="18"/>
  <c r="S48" i="18" s="1"/>
  <c r="AL123" i="18" l="1"/>
  <c r="AK122" i="18"/>
  <c r="P42" i="18"/>
  <c r="AL122" i="18" l="1"/>
  <c r="AK121" i="18"/>
  <c r="AK120" i="18" l="1"/>
  <c r="AL121" i="18"/>
  <c r="C267" i="20"/>
  <c r="AK119" i="18" l="1"/>
  <c r="AL120" i="18"/>
  <c r="B8" i="36"/>
  <c r="AK118" i="18" l="1"/>
  <c r="AL119" i="18"/>
  <c r="B10" i="36"/>
  <c r="AK117" i="18" l="1"/>
  <c r="AL118" i="18"/>
  <c r="S49" i="18"/>
  <c r="S50" i="18" s="1"/>
  <c r="S51" i="18" s="1"/>
  <c r="S52" i="18" s="1"/>
  <c r="S53" i="18" s="1"/>
  <c r="S54" i="18" s="1"/>
  <c r="S55" i="18" s="1"/>
  <c r="S56" i="18" s="1"/>
  <c r="S57" i="18" s="1"/>
  <c r="S58" i="18" l="1"/>
  <c r="S59" i="18" s="1"/>
  <c r="S60" i="18" s="1"/>
  <c r="S61" i="18" s="1"/>
  <c r="AK116" i="18"/>
  <c r="AL117" i="18"/>
  <c r="N25" i="33"/>
  <c r="N24" i="33"/>
  <c r="N21" i="33"/>
  <c r="N20" i="33"/>
  <c r="N19" i="33"/>
  <c r="N18" i="33"/>
  <c r="L18" i="33" s="1"/>
  <c r="N17" i="33"/>
  <c r="N9" i="33"/>
  <c r="N3" i="33"/>
  <c r="N4" i="33"/>
  <c r="S62" i="18" l="1"/>
  <c r="S63" i="18" s="1"/>
  <c r="S64" i="18" s="1"/>
  <c r="S65" i="18" s="1"/>
  <c r="AK115" i="18"/>
  <c r="AL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14" i="18" l="1"/>
  <c r="AL114" i="18" s="1"/>
  <c r="AL115" i="18"/>
  <c r="AC15" i="33"/>
  <c r="AL139" i="18" l="1"/>
  <c r="AM139" i="18" s="1"/>
  <c r="AI145" i="18" s="1"/>
  <c r="AI146" i="18" s="1"/>
  <c r="N16" i="33"/>
  <c r="AI142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2" i="18"/>
  <c r="K244" i="20" l="1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43" i="20" l="1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2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0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2" i="18"/>
  <c r="AK76" i="18" l="1"/>
  <c r="AL77" i="18"/>
  <c r="AK75" i="18" l="1"/>
  <c r="AL76" i="18"/>
  <c r="N41" i="18"/>
  <c r="Q68" i="18" s="1"/>
  <c r="AI103" i="18" l="1"/>
  <c r="AI104" i="18" s="1"/>
  <c r="AK74" i="18"/>
  <c r="AL75" i="18"/>
  <c r="AK73" i="18" l="1"/>
  <c r="AL74" i="18"/>
  <c r="R79" i="18"/>
  <c r="V62" i="18" l="1"/>
  <c r="V65" i="18"/>
  <c r="V63" i="18"/>
  <c r="V64" i="18"/>
  <c r="V33" i="18"/>
  <c r="V32" i="18"/>
  <c r="V31" i="18"/>
  <c r="V30" i="18"/>
  <c r="V61" i="18"/>
  <c r="V29" i="18"/>
  <c r="V27" i="18"/>
  <c r="V28" i="18"/>
  <c r="V59" i="18"/>
  <c r="V60" i="18"/>
  <c r="V25" i="18"/>
  <c r="V26" i="18"/>
  <c r="V58" i="18"/>
  <c r="V57" i="18"/>
  <c r="V56" i="18"/>
  <c r="V55" i="18"/>
  <c r="V54" i="18"/>
  <c r="V24" i="18"/>
  <c r="V53" i="18"/>
  <c r="V51" i="18"/>
  <c r="V52" i="18"/>
  <c r="V49" i="18"/>
  <c r="V50" i="18"/>
  <c r="V48" i="18"/>
  <c r="V21" i="18"/>
  <c r="V23" i="18"/>
  <c r="V44" i="18"/>
  <c r="V20" i="18"/>
  <c r="V22" i="18"/>
  <c r="V45" i="18"/>
  <c r="V46" i="18"/>
  <c r="V47" i="18"/>
  <c r="AK72" i="18"/>
  <c r="AL73" i="18"/>
  <c r="W22" i="18" l="1"/>
  <c r="X22" i="18"/>
  <c r="W21" i="18"/>
  <c r="X21" i="18"/>
  <c r="W52" i="18"/>
  <c r="X52" i="18"/>
  <c r="W54" i="18"/>
  <c r="X54" i="18"/>
  <c r="W58" i="18"/>
  <c r="X58" i="18"/>
  <c r="X59" i="18"/>
  <c r="W59" i="18"/>
  <c r="W61" i="18"/>
  <c r="X61" i="18"/>
  <c r="W63" i="18"/>
  <c r="X63" i="18"/>
  <c r="W47" i="18"/>
  <c r="X47" i="18"/>
  <c r="W51" i="18"/>
  <c r="X51" i="18"/>
  <c r="W55" i="18"/>
  <c r="X55" i="18"/>
  <c r="W26" i="18"/>
  <c r="X26" i="18"/>
  <c r="W28" i="18"/>
  <c r="X28" i="18"/>
  <c r="W30" i="18"/>
  <c r="X30" i="18"/>
  <c r="W65" i="18"/>
  <c r="X65" i="18"/>
  <c r="W20" i="18"/>
  <c r="X20" i="18"/>
  <c r="W50" i="18"/>
  <c r="X50" i="18"/>
  <c r="W56" i="18"/>
  <c r="X56" i="18"/>
  <c r="W25" i="18"/>
  <c r="X25" i="18"/>
  <c r="W27" i="18"/>
  <c r="X27" i="18"/>
  <c r="X62" i="18"/>
  <c r="W62" i="18"/>
  <c r="W48" i="18"/>
  <c r="X48" i="18"/>
  <c r="W46" i="18"/>
  <c r="X46" i="18"/>
  <c r="W44" i="18"/>
  <c r="X44" i="18"/>
  <c r="W53" i="18"/>
  <c r="X53" i="18"/>
  <c r="W45" i="18"/>
  <c r="X45" i="18"/>
  <c r="W23" i="18"/>
  <c r="X23" i="18"/>
  <c r="W49" i="18"/>
  <c r="X49" i="18"/>
  <c r="X24" i="18"/>
  <c r="W24" i="18"/>
  <c r="W57" i="18"/>
  <c r="X57" i="18"/>
  <c r="W60" i="18"/>
  <c r="X60" i="18"/>
  <c r="W29" i="18"/>
  <c r="X29" i="18"/>
  <c r="W31" i="18"/>
  <c r="X31" i="18"/>
  <c r="X64" i="18"/>
  <c r="W64" i="18"/>
  <c r="W32" i="18"/>
  <c r="X32" i="18"/>
  <c r="W33" i="18"/>
  <c r="X33" i="18"/>
  <c r="AK71" i="18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K51" i="18"/>
  <c r="AL52" i="18"/>
  <c r="D27" i="48"/>
  <c r="E253" i="15"/>
  <c r="E252" i="15"/>
  <c r="G33" i="50" l="1"/>
  <c r="H33" i="50" s="1"/>
  <c r="I33" i="48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97" i="18" l="1"/>
  <c r="AM97" i="18" s="1"/>
  <c r="AI102" i="18" s="1"/>
  <c r="E173" i="13"/>
  <c r="G174" i="13"/>
  <c r="D238" i="15"/>
  <c r="F239" i="15"/>
  <c r="X720" i="41"/>
  <c r="U2123" i="41"/>
  <c r="AI106" i="18" l="1"/>
  <c r="E172" i="13"/>
  <c r="G173" i="13"/>
  <c r="D237" i="15"/>
  <c r="F238" i="15"/>
  <c r="D62" i="38"/>
  <c r="AI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7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7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6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7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7" i="18" l="1"/>
  <c r="L56" i="18"/>
  <c r="F22" i="18" s="1"/>
  <c r="E33" i="13"/>
  <c r="G34" i="13"/>
  <c r="I97" i="20"/>
  <c r="K97" i="20"/>
  <c r="J97" i="20"/>
  <c r="F108" i="15"/>
  <c r="C20" i="18"/>
  <c r="G20" i="14"/>
  <c r="G21" i="14"/>
  <c r="L58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<sst xmlns="http://schemas.openxmlformats.org/spreadsheetml/2006/main" count="9593" uniqueCount="4532">
  <si>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</si>
  <si>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</si>
  <si>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</si>
  <si>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</si>
  <si>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</si>
  <si>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</si>
  <si>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</si>
  <si>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</si>
  <si>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</si>
  <si>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</si>
  <si>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</si>
  <si>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</si>
  <si>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</si>
  <si>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</si>
  <si>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</si>
  <si>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</si>
  <si>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</si>
  <si>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</si>
  <si>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</si>
  <si>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</si>
  <si>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</si>
  <si>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</si>
  <si>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</si>
  <si>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</si>
  <si>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</si>
  <si>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</si>
  <si>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</si>
  <si>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</si>
  <si>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</si>
  <si>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</si>
  <si>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</si>
  <si>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</si>
  <si>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</si>
  <si>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</si>
  <si>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</si>
  <si>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</si>
  <si>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</si>
  <si>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</si>
  <si>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</si>
  <si>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</si>
  <si>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</si>
  <si>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</si>
  <si>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</si>
  <si>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</si>
  <si>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</si>
  <si>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</si>
  <si>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</si>
  <si>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</si>
  <si>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</si>
  <si>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</si>
  <si>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</si>
  <si>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</si>
  <si>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</si>
  <si>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</si>
  <si>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</si>
  <si>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</si>
  <si>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</si>
  <si>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</si>
  <si>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</si>
  <si>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</si>
  <si>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</si>
  <si>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</si>
  <si>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</si>
  <si>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</si>
  <si>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</si>
  <si>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</si>
  <si>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</si>
  <si>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</si>
  <si>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</si>
  <si>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</si>
  <si>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</si>
  <si>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</si>
  <si>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</si>
  <si>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</si>
  <si>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</si>
  <si>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</si>
  <si>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</si>
  <si>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</si>
  <si>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</si>
  <si>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</si>
  <si>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</si>
  <si>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</si>
  <si>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</si>
  <si>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</si>
  <si>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</si>
  <si>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</si>
  <si>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</si>
  <si>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</si>
  <si>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</si>
  <si>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</si>
  <si>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</si>
  <si>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</si>
  <si>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</si>
  <si>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</si>
  <si>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</si>
  <si>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</si>
  <si>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</si>
  <si>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</si>
  <si>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</si>
  <si>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</si>
  <si>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</si>
  <si>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</si>
  <si>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</si>
  <si>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</si>
  <si>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</si>
  <si>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</si>
  <si>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</si>
  <si>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</si>
  <si>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</si>
  <si>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</si>
  <si>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</si>
  <si>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</si>
  <si>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</si>
  <si>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</si>
  <si>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</si>
  <si>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</si>
  <si>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</si>
  <si>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</si>
  <si>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</si>
  <si>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</si>
  <si>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</si>
  <si>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</si>
  <si>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</si>
  <si>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</si>
  <si>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</si>
  <si>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</si>
  <si>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</si>
  <si>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</si>
  <si>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</si>
  <si>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</si>
  <si>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</si>
  <si>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</si>
  <si>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</si>
  <si>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</si>
  <si>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</si>
  <si>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</si>
  <si>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</si>
  <si>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</si>
  <si>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</si>
  <si>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</si>
  <si>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</si>
  <si>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</si>
  <si>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</si>
  <si>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</si>
  <si>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</si>
  <si>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</si>
  <si>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</si>
  <si>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</si>
  <si>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</si>
  <si>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</si>
  <si>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</si>
  <si>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</si>
  <si>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</si>
  <si>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</si>
  <si>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</si>
  <si>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</si>
  <si>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</si>
  <si>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</si>
  <si>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</si>
  <si>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</si>
  <si>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</si>
  <si>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</si>
  <si>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</si>
  <si>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</si>
  <si>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</si>
  <si>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</si>
  <si>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</si>
  <si>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</si>
  <si>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</si>
  <si>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</si>
  <si>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</si>
  <si>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</si>
  <si>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</si>
  <si>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</si>
  <si>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</si>
  <si>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</si>
  <si>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</si>
  <si>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</si>
  <si>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</si>
  <si>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</si>
  <si>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</si>
  <si>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</si>
  <si>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</si>
  <si>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</si>
  <si>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</si>
  <si>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</si>
  <si>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</si>
  <si>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</si>
  <si>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</si>
  <si>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</si>
  <si>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</si>
  <si>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</si>
  <si>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</si>
  <si>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</si>
  <si>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</si>
  <si>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</si>
  <si>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</si>
  <si>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</si>
  <si>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</si>
  <si>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</si>
  <si>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</si>
  <si>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</si>
  <si>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</si>
  <si>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</si>
  <si>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</si>
  <si>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</si>
  <si>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</si>
  <si>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</si>
  <si>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</si>
  <si>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</si>
  <si>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</si>
  <si>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</si>
  <si>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</si>
  <si>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</si>
  <si>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</si>
  <si>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</si>
  <si>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</si>
  <si>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</si>
  <si>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</si>
  <si>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</si>
  <si>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</si>
  <si>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</si>
  <si>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</si>
  <si>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</si>
  <si>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</si>
  <si>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</si>
  <si>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</si>
  <si>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</si>
  <si>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</si>
  <si>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</si>
  <si>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</si>
  <si>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</si>
  <si>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</si>
  <si>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</si>
  <si>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</si>
  <si>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</si>
  <si>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</si>
  <si>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</si>
  <si>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</si>
  <si>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</si>
  <si>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</si>
  <si>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</si>
  <si>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</si>
  <si>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</si>
  <si>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</si>
  <si>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</si>
  <si>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</si>
  <si>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</si>
  <si>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</si>
  <si>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</si>
  <si>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</si>
  <si>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</si>
  <si>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</si>
  <si>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</si>
  <si>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</si>
  <si>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</si>
  <si>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</si>
  <si>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</si>
  <si>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</si>
  <si>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</si>
  <si>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</si>
  <si>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</si>
  <si>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</si>
  <si>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</si>
  <si>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</si>
  <si>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</si>
  <si>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</si>
  <si>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</si>
  <si>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</si>
  <si>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</si>
  <si>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</si>
  <si>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</si>
  <si>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</si>
  <si>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</si>
  <si>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</si>
  <si>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</si>
  <si>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</si>
  <si>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</si>
  <si>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</si>
  <si>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</si>
  <si>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</si>
  <si>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</si>
  <si>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</si>
  <si>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</si>
  <si>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</si>
  <si>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</si>
  <si>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</si>
  <si>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</si>
  <si>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</si>
  <si>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</si>
  <si>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</si>
  <si>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</si>
  <si>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</si>
  <si>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</si>
  <si>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</si>
  <si>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</si>
  <si>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</si>
  <si>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</si>
  <si>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</si>
  <si>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</si>
  <si>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</si>
  <si>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</si>
  <si>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</si>
  <si>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</si>
  <si>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</si>
  <si>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</si>
  <si>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</si>
  <si>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</si>
  <si>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</si>
  <si>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</si>
  <si>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</si>
  <si>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</si>
  <si>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</si>
  <si>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</si>
  <si>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</si>
  <si>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</si>
  <si>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</si>
  <si>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</si>
  <si>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</si>
  <si>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</si>
  <si>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</si>
  <si>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</si>
  <si>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</si>
  <si>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</si>
  <si>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</si>
  <si>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</si>
  <si>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</si>
  <si>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</si>
  <si>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</si>
  <si>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</si>
  <si>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</si>
  <si>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</si>
  <si>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</si>
  <si>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</si>
  <si>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</si>
  <si>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</si>
  <si>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</si>
  <si>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</si>
  <si>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</si>
  <si>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</si>
  <si>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</si>
  <si>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</si>
  <si>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</si>
  <si>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</si>
  <si>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</si>
  <si>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</si>
  <si>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</si>
  <si>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</si>
  <si>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</si>
  <si>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</si>
  <si>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</si>
  <si>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</si>
  <si>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</si>
  <si>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</si>
  <si>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</si>
  <si>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</si>
  <si>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</si>
  <si>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</si>
  <si>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</si>
  <si>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</si>
  <si>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</si>
  <si>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</si>
  <si>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</si>
  <si>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</si>
  <si>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</si>
  <si>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</si>
  <si>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</si>
  <si>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</si>
  <si>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</si>
  <si>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</si>
  <si>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</si>
  <si>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</si>
  <si>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</si>
  <si>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</si>
  <si>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</si>
  <si>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</si>
  <si>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</si>
  <si>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</si>
  <si>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</si>
  <si>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</si>
  <si>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</si>
  <si>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</si>
  <si>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</si>
  <si>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</si>
  <si>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</si>
  <si>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</si>
  <si>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</si>
  <si>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</si>
  <si>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</si>
  <si>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</si>
  <si>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</si>
  <si>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</si>
  <si>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</si>
  <si>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</si>
  <si>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</si>
  <si>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</si>
  <si>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</si>
  <si>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</si>
  <si>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</si>
  <si>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</si>
  <si>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</si>
  <si>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</si>
  <si>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</si>
  <si>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</si>
  <si>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</si>
  <si>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</si>
  <si>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</si>
  <si>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</si>
  <si>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</si>
  <si>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</si>
  <si>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</si>
  <si>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</si>
  <si>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</si>
  <si>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</si>
  <si>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</si>
  <si>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</si>
  <si>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</si>
  <si>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</si>
  <si>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</si>
  <si>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</si>
  <si>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</si>
  <si>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</si>
  <si>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</si>
  <si>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</si>
  <si>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</si>
  <si>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</si>
  <si>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</si>
  <si>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</si>
  <si>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</si>
  <si>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</si>
  <si>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</si>
  <si>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</si>
  <si>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</si>
  <si>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</si>
  <si>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</si>
  <si>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</si>
  <si>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</si>
  <si>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</si>
  <si>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</si>
  <si>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</si>
  <si>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</si>
  <si>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</si>
  <si>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</si>
  <si>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</si>
  <si>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</si>
  <si>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</si>
  <si>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</si>
  <si>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</si>
  <si>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</si>
  <si>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</si>
  <si>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</si>
  <si>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</si>
  <si>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</si>
  <si>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</si>
  <si>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</si>
  <si>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</si>
  <si>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</si>
  <si>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</si>
  <si>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</si>
  <si>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</si>
  <si>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</si>
  <si>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</si>
  <si>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</si>
  <si>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</si>
  <si>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</si>
  <si>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</si>
  <si>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</si>
  <si>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</si>
  <si>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</si>
  <si>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</si>
  <si>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</si>
  <si>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</si>
  <si>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</si>
  <si>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</si>
  <si>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</si>
  <si>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</si>
  <si>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</si>
  <si>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</si>
  <si>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</si>
  <si>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</si>
  <si>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</si>
  <si>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</si>
  <si>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</si>
  <si>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</si>
  <si>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</si>
  <si>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</si>
  <si>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</si>
  <si>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</si>
  <si>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</si>
  <si>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</si>
  <si>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</si>
  <si>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</si>
  <si>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</si>
  <si>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</si>
  <si>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</si>
  <si>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</si>
  <si>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</si>
  <si>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</si>
  <si>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</si>
  <si>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</si>
  <si>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</si>
  <si>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</si>
  <si>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</si>
  <si>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</si>
  <si>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</si>
  <si>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</si>
  <si>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</si>
  <si>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</si>
  <si>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</si>
  <si>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</si>
  <si>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</si>
  <si>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</si>
  <si>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</si>
  <si>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</si>
  <si>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</si>
  <si>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</si>
  <si>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</si>
  <si>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</si>
  <si>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</si>
  <si>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</si>
  <si>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</si>
  <si>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</si>
  <si>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</si>
  <si>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</si>
  <si>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</si>
  <si>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</si>
  <si>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</si>
  <si>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</si>
  <si>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</si>
  <si>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</si>
  <si>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</si>
  <si>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</si>
  <si>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</si>
  <si>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</si>
  <si>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</si>
  <si>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</si>
  <si>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</si>
  <si>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</si>
  <si>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</si>
  <si>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</si>
  <si>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</si>
  <si>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</si>
  <si>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</si>
  <si>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</si>
  <si>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</si>
  <si>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</si>
  <si>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</si>
  <si>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</si>
  <si>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</si>
  <si>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</si>
  <si>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</si>
  <si>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</si>
  <si>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</si>
  <si>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</si>
  <si>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</si>
  <si>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</si>
  <si>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</si>
  <si>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</si>
  <si>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</si>
  <si>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</si>
  <si>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</si>
  <si>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</si>
  <si>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</si>
  <si>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</si>
  <si>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</si>
  <si>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</si>
  <si>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</si>
  <si>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</si>
  <si>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</si>
  <si>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</si>
  <si>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</si>
  <si>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</si>
  <si>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</si>
  <si>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</si>
  <si>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</si>
  <si>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</si>
  <si>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</si>
  <si>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</si>
  <si>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</si>
  <si>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</si>
  <si>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</si>
  <si>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</si>
  <si>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</si>
  <si>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</si>
  <si>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</si>
  <si>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</si>
  <si>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</si>
  <si>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</si>
  <si>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</si>
  <si>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</si>
  <si>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</si>
  <si>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</si>
  <si>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</si>
  <si>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</si>
  <si>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</si>
  <si>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</si>
  <si>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</si>
  <si>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</si>
  <si>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</si>
  <si>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</si>
  <si>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</si>
  <si>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</si>
  <si>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</si>
  <si>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</si>
  <si>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</si>
  <si>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</si>
  <si>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</si>
  <si>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</si>
  <si>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</si>
  <si>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</si>
  <si>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</si>
  <si>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</si>
  <si>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</si>
  <si>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</si>
  <si>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</si>
  <si>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</si>
  <si>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</si>
  <si>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</si>
  <si>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</si>
  <si>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</si>
  <si>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</si>
  <si>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</si>
  <si>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</si>
  <si>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</si>
  <si>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</si>
  <si>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</si>
  <si>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</si>
  <si>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</si>
  <si>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</si>
  <si>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</si>
  <si>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</si>
  <si>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</si>
  <si>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</si>
  <si>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</si>
  <si>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</si>
  <si>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</si>
  <si>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</si>
  <si>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</si>
  <si>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</si>
  <si>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</si>
  <si>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</si>
  <si>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</si>
  <si>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</si>
  <si>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</si>
  <si>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</si>
  <si>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</si>
  <si>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</si>
  <si>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</si>
  <si>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</si>
  <si>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</si>
  <si>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</si>
  <si>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</si>
  <si>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</si>
  <si>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</si>
  <si>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</si>
  <si>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</si>
  <si>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</si>
  <si>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</si>
  <si>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</si>
  <si>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</si>
  <si>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</si>
  <si>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</si>
  <si>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</si>
  <si>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</si>
  <si>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</si>
  <si>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</si>
  <si>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</si>
  <si>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</si>
  <si>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</si>
  <si>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</si>
  <si>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</si>
  <si>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</si>
  <si>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</si>
  <si>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</si>
  <si>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</si>
  <si>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</si>
  <si>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</si>
  <si>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</si>
  <si>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</si>
  <si>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</si>
  <si>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</si>
  <si>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</si>
  <si>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</si>
  <si>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</si>
  <si>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</si>
  <si>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</si>
  <si>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</si>
  <si>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</si>
  <si>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</si>
  <si>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</si>
  <si>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</si>
  <si>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</si>
  <si>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</si>
  <si>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</si>
  <si>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</si>
  <si>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</si>
  <si>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</si>
  <si>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</si>
  <si>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</si>
  <si>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</si>
  <si>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</si>
  <si>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</si>
  <si>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</si>
  <si>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</si>
  <si>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</si>
  <si>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</si>
  <si>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</si>
  <si>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</si>
  <si>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</si>
  <si>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</si>
  <si>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</si>
  <si>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</si>
  <si>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</si>
  <si>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</si>
  <si>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</si>
  <si>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</si>
  <si>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</si>
  <si>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</si>
  <si>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</si>
  <si>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</si>
  <si>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</si>
  <si>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</si>
  <si>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</si>
  <si>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</si>
  <si>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</si>
  <si>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</si>
  <si>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</si>
  <si>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</si>
  <si>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</si>
  <si>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</si>
  <si>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</si>
  <si>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</si>
  <si>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</si>
  <si>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</si>
  <si>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</si>
  <si>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</si>
  <si>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</si>
  <si>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</si>
  <si>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</si>
  <si>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</si>
  <si>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</si>
  <si>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</si>
  <si>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</si>
  <si>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</si>
  <si>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</si>
  <si>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</si>
  <si>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</si>
  <si>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</si>
  <si>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</si>
  <si>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</si>
  <si>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</si>
  <si>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</si>
  <si>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</si>
  <si>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</si>
  <si>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</si>
  <si>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</si>
  <si>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</si>
  <si>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</si>
  <si>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</si>
  <si>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</si>
  <si>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</si>
  <si>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</si>
  <si>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</si>
  <si>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</si>
  <si>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</si>
  <si>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</si>
  <si>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</si>
  <si>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</si>
  <si>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</si>
  <si>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</si>
  <si>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</si>
  <si>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</si>
  <si>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</si>
  <si>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</si>
  <si>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</si>
  <si>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</si>
  <si>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</si>
  <si>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</si>
  <si>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</si>
  <si>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</si>
  <si>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</si>
  <si>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</si>
  <si>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</si>
  <si>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</si>
  <si>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</si>
  <si>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</si>
  <si>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</si>
  <si>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</si>
  <si>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</si>
  <si>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</si>
  <si>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</si>
  <si>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</si>
  <si>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</si>
  <si>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</si>
  <si>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</si>
  <si>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</si>
  <si>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</si>
  <si>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</si>
  <si>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</si>
  <si>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</si>
  <si>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</si>
  <si>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</si>
  <si>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</si>
  <si>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</si>
  <si>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</si>
  <si>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</si>
  <si>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</si>
  <si>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</si>
  <si>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</si>
  <si>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</si>
  <si>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</si>
  <si>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</si>
  <si>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</si>
  <si>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</si>
  <si>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</si>
  <si>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</si>
  <si>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</si>
  <si>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</si>
  <si>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</si>
  <si>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</si>
  <si>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</si>
  <si>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</si>
  <si>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</si>
  <si>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</si>
  <si>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</si>
  <si>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</si>
  <si>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</si>
  <si>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</si>
  <si>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</si>
  <si>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</si>
  <si>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</si>
  <si>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</si>
  <si>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</si>
  <si>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</si>
  <si>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</si>
  <si>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</si>
  <si>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</si>
  <si>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</si>
  <si>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</si>
  <si>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</si>
  <si>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</si>
  <si>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</si>
  <si>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</si>
  <si>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</si>
  <si>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</si>
  <si>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</si>
  <si>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</si>
  <si>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</si>
  <si>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</si>
  <si>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</si>
  <si>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</si>
  <si>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</si>
  <si>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</si>
  <si>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</si>
  <si>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</si>
  <si>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</si>
  <si>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</si>
  <si>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</si>
  <si>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</si>
  <si>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</si>
  <si>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</si>
  <si>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</si>
  <si>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</si>
  <si>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</si>
  <si>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</si>
  <si>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</si>
  <si>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</si>
  <si>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</si>
  <si>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</si>
  <si>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</si>
  <si>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</si>
  <si>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</si>
  <si>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</si>
  <si>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</si>
  <si>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</si>
  <si>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</si>
  <si>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</si>
  <si>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</si>
  <si>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</si>
  <si>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</si>
  <si>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</si>
  <si>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</si>
  <si>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</si>
  <si>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</si>
  <si>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</si>
  <si>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</si>
  <si>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</si>
  <si>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</si>
  <si>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</si>
  <si>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</si>
  <si>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</si>
  <si>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</si>
  <si>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</si>
  <si>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</si>
  <si>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</si>
  <si>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</si>
  <si>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</si>
  <si>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</si>
  <si>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</si>
  <si>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</si>
  <si>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</si>
  <si>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</si>
  <si>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</si>
  <si>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</si>
  <si>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</si>
  <si>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</si>
  <si>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</si>
  <si>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</si>
  <si>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</si>
  <si>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</si>
  <si>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</si>
  <si>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</si>
  <si>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</si>
  <si>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</si>
  <si>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</si>
  <si>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</si>
  <si>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</si>
  <si>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</si>
  <si>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</si>
  <si>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</si>
  <si>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</si>
  <si>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</si>
  <si>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</si>
  <si>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</si>
  <si>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</si>
  <si>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</si>
  <si>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</si>
  <si>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</si>
  <si>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</si>
  <si>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</si>
  <si>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</si>
  <si>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</si>
  <si>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</si>
  <si>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</si>
  <si>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</si>
  <si>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</si>
  <si>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</si>
  <si>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</si>
  <si>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</si>
  <si>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</si>
  <si>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</si>
  <si>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</si>
  <si>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</si>
  <si>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</si>
  <si>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</si>
  <si>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</si>
  <si>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</si>
  <si>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</si>
  <si>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</si>
  <si>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</si>
  <si>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</si>
  <si>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</si>
  <si>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</si>
  <si>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</si>
  <si>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</si>
  <si>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</si>
  <si>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</si>
  <si>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</si>
  <si>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</si>
  <si>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</si>
  <si>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</si>
  <si>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</si>
  <si>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</si>
  <si>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</si>
  <si>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</si>
  <si>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</si>
  <si>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</si>
  <si>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</si>
  <si>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</si>
  <si>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</si>
  <si>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</si>
  <si>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</si>
  <si>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</si>
  <si>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</si>
  <si>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</si>
  <si>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</si>
  <si>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</si>
  <si>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</si>
  <si>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</si>
  <si>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</si>
  <si>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</si>
  <si>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</si>
  <si>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</si>
  <si>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</si>
  <si>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</si>
  <si>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</si>
  <si>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</si>
  <si>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</si>
  <si>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</si>
  <si>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</si>
  <si>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</si>
  <si>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</si>
  <si>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</si>
  <si>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</si>
  <si>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</si>
  <si>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</si>
  <si>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</si>
  <si>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</si>
  <si>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</si>
  <si>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</si>
  <si>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</si>
  <si>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</si>
  <si>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</si>
  <si>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</si>
  <si>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</si>
  <si>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</si>
  <si>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</si>
  <si>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</si>
  <si>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</si>
  <si>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</si>
  <si>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</si>
  <si>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</si>
  <si>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</si>
  <si>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</si>
  <si>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</si>
  <si>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</si>
  <si>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</si>
  <si>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</si>
  <si>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</si>
  <si>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</si>
  <si>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</si>
  <si>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</si>
  <si>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</si>
  <si>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</si>
  <si>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</si>
  <si>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</si>
  <si>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</si>
  <si>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</si>
  <si>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</si>
  <si>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</si>
  <si>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</si>
  <si>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</si>
  <si>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</si>
  <si>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</si>
  <si>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</si>
  <si>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</si>
  <si>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</si>
  <si>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</si>
  <si>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</si>
  <si>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</si>
  <si>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</si>
  <si>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</si>
  <si>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</si>
  <si>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</si>
  <si>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</si>
  <si>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</si>
  <si>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</si>
  <si>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</si>
  <si>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</si>
  <si>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</si>
  <si>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</si>
  <si>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</si>
  <si>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</si>
  <si>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</si>
  <si>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</si>
  <si>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</si>
  <si>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</si>
  <si>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</si>
  <si>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</si>
  <si>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</si>
  <si>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</si>
  <si>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</si>
  <si>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</si>
  <si>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</si>
  <si>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</si>
  <si>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</si>
  <si>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</si>
  <si>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</si>
  <si>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</si>
  <si>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</si>
  <si>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</si>
  <si>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</si>
  <si>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</si>
  <si>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</si>
  <si>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</si>
  <si>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</si>
  <si>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</si>
  <si>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</si>
  <si>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</si>
  <si>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</si>
  <si>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</si>
  <si>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</si>
  <si>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</si>
  <si>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</si>
  <si>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</si>
  <si>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</si>
  <si>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</si>
  <si>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</si>
  <si>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</si>
  <si>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</si>
  <si>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</si>
  <si>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</si>
  <si>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</si>
  <si>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</si>
  <si>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</si>
  <si>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</si>
  <si>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</si>
  <si>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</si>
  <si>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</si>
  <si>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</si>
  <si>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</si>
  <si>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</si>
  <si>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</si>
  <si>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</si>
  <si>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</si>
  <si>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</si>
  <si>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</si>
  <si>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</si>
  <si>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</si>
  <si>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</si>
  <si>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</si>
  <si>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</si>
  <si>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</si>
  <si>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</si>
  <si>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</si>
  <si>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</si>
  <si>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</si>
  <si>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</si>
  <si>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</si>
  <si>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</si>
  <si>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</si>
  <si>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</si>
  <si>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</si>
  <si>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</si>
  <si>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</si>
  <si>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</si>
  <si>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</si>
  <si>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</si>
  <si>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</si>
  <si>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</si>
  <si>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</si>
  <si>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</si>
  <si>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</si>
  <si>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</si>
  <si>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</si>
  <si>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</si>
  <si>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</si>
  <si>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</si>
  <si>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</si>
  <si>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</si>
  <si>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</si>
  <si>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</si>
  <si>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</si>
  <si>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</si>
  <si>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</si>
  <si>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</si>
  <si>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</si>
  <si>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</si>
  <si>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</si>
  <si>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</si>
  <si>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</si>
  <si>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</si>
  <si>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</si>
  <si>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</si>
  <si>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</si>
  <si>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</si>
  <si>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</si>
  <si>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</si>
  <si>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</si>
  <si>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</si>
  <si>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</si>
  <si>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</si>
  <si>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</si>
  <si>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</si>
  <si>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</si>
  <si>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</si>
  <si>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</si>
  <si>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</si>
  <si>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</si>
  <si>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</si>
  <si>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</si>
  <si>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</si>
  <si>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</si>
  <si>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</si>
  <si>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</si>
  <si>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</si>
  <si>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</si>
  <si>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</si>
  <si>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</si>
  <si>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</si>
  <si>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</si>
  <si>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</si>
  <si>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</si>
  <si>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</si>
  <si>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</si>
  <si>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</si>
  <si>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</si>
  <si>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</si>
  <si>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</si>
  <si>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</si>
  <si>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</si>
  <si>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</si>
  <si>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</si>
  <si>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</si>
  <si>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</si>
  <si>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</si>
  <si>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</si>
  <si>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</si>
  <si>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</si>
  <si>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</si>
  <si>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</si>
  <si>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</si>
  <si>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</si>
  <si>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</si>
  <si>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</si>
  <si>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</si>
  <si>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</si>
  <si>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</si>
  <si>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</si>
  <si>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</si>
  <si>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</si>
  <si>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</si>
  <si>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</si>
  <si>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</si>
  <si>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</si>
  <si>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</si>
  <si>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</si>
  <si>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</si>
  <si>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</si>
  <si>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</si>
  <si>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</si>
  <si>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</si>
  <si>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</si>
  <si>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</si>
  <si>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</si>
  <si>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</si>
  <si>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</si>
  <si>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</si>
  <si>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</si>
  <si>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</si>
  <si>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</si>
  <si>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</si>
  <si>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</si>
  <si>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</si>
  <si>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</si>
  <si>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</si>
  <si>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</si>
  <si>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</si>
  <si>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</si>
  <si>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</si>
  <si>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</si>
  <si>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</si>
  <si>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</si>
  <si>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</si>
  <si>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</si>
  <si>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</si>
  <si>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</si>
  <si>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</si>
  <si>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</si>
  <si>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</si>
  <si>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</si>
  <si>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</si>
  <si>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</si>
  <si>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</si>
  <si>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</si>
  <si>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</si>
  <si>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</si>
  <si>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</si>
  <si>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</si>
  <si>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</si>
  <si>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</si>
  <si>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</si>
  <si>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</si>
  <si>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</si>
  <si>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</si>
  <si>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</si>
  <si>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</si>
  <si>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</si>
  <si>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</si>
  <si>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</si>
  <si>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</si>
  <si>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</si>
  <si>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</si>
  <si>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</si>
  <si>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</si>
  <si>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</si>
  <si>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</si>
  <si>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</si>
  <si>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</si>
  <si>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</si>
  <si>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</si>
  <si>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</si>
  <si>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</si>
  <si>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</si>
  <si>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</si>
  <si>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</si>
  <si>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</si>
  <si>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</si>
  <si>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</si>
  <si>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</si>
  <si>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</si>
  <si>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</si>
  <si>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</si>
  <si>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</si>
  <si>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</si>
  <si>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</si>
  <si>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</si>
  <si>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</si>
  <si>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</si>
  <si>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</si>
  <si>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</si>
  <si>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</si>
  <si>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</si>
  <si>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</si>
  <si>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</si>
  <si>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</si>
  <si>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</si>
  <si>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</si>
  <si>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</si>
  <si>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</si>
  <si>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</si>
  <si>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</si>
  <si>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</si>
  <si>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</si>
  <si>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</si>
  <si>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</si>
  <si>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</si>
  <si>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</si>
  <si>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</si>
  <si>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</si>
  <si>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</si>
  <si>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</si>
  <si>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</si>
  <si>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</si>
  <si>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</si>
  <si>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</si>
  <si>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</si>
  <si>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</si>
  <si>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</si>
  <si>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</si>
  <si>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</si>
  <si>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</si>
  <si>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</si>
  <si>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</si>
  <si>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</si>
  <si>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</si>
  <si>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</si>
  <si>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</si>
  <si>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</si>
  <si>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</si>
  <si>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</si>
  <si>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</si>
  <si>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</si>
  <si>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</si>
  <si>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</si>
  <si>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</si>
  <si>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</si>
  <si>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</si>
  <si>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</si>
  <si>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</si>
  <si>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</si>
  <si>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</si>
  <si>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</si>
  <si>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</si>
  <si>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</si>
  <si>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</si>
  <si>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</si>
  <si>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</si>
  <si>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</si>
  <si>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</si>
  <si>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</si>
  <si>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</si>
  <si>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</si>
  <si>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</si>
  <si>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</si>
  <si>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</si>
  <si>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</si>
  <si>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</si>
  <si>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</si>
  <si>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</si>
  <si>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</si>
  <si>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</si>
  <si>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</si>
  <si>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</si>
  <si>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</si>
  <si>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</si>
  <si>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</si>
  <si>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</si>
  <si>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</si>
  <si>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</si>
  <si>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</si>
  <si>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</si>
  <si>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</si>
  <si>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</si>
  <si>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</si>
  <si>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</si>
  <si>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</si>
  <si>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</si>
  <si>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</si>
  <si>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</si>
  <si>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</si>
  <si>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</si>
  <si>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</si>
  <si>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</si>
  <si>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</si>
  <si>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</si>
  <si>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</si>
  <si>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</si>
  <si>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</si>
  <si>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</si>
  <si>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</si>
  <si>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</si>
  <si>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</si>
  <si>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</si>
  <si>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</si>
  <si>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</si>
  <si>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</si>
  <si>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</si>
  <si>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</si>
  <si>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</si>
  <si>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</si>
  <si>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</si>
  <si>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</si>
  <si>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</si>
  <si>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</si>
  <si>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</si>
  <si>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</si>
  <si>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</si>
  <si>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</si>
  <si>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</si>
  <si>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</si>
  <si>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</si>
  <si>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</si>
  <si>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</si>
  <si>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</si>
  <si>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</si>
  <si>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</si>
  <si>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</si>
  <si>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</si>
  <si>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</si>
  <si>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</si>
  <si>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</si>
  <si>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</si>
  <si>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</si>
  <si>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</si>
  <si>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</si>
  <si>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</si>
  <si>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</si>
  <si>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</si>
  <si>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</si>
  <si>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</si>
  <si>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</si>
  <si>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</si>
  <si>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</si>
  <si>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</si>
  <si>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</si>
  <si>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</si>
  <si>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</si>
  <si>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</si>
  <si>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</si>
  <si>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</si>
  <si>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</si>
  <si>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</si>
  <si>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</si>
  <si>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</si>
  <si>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</si>
  <si>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</si>
  <si>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</si>
  <si>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</si>
  <si>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</si>
  <si>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</si>
  <si>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</si>
  <si>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</si>
  <si>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</si>
  <si>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</si>
  <si>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</si>
  <si>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</si>
  <si>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</si>
  <si>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</si>
  <si>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</si>
  <si>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</si>
  <si>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</si>
  <si>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</si>
  <si>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</si>
  <si>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</si>
  <si>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</si>
  <si>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</si>
  <si>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</si>
  <si>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</si>
  <si>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</si>
  <si>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</si>
  <si>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</si>
  <si>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</si>
  <si>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</si>
  <si>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</si>
  <si>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</si>
  <si>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</si>
  <si>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</si>
  <si>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</si>
  <si>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</si>
  <si>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</si>
  <si>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</si>
  <si>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</si>
  <si>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</si>
  <si>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</si>
  <si>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</si>
  <si>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</si>
  <si>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</si>
  <si>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</si>
  <si>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</si>
  <si>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</si>
  <si>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</si>
  <si>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</si>
  <si>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</si>
  <si>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</si>
  <si>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</si>
  <si>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</si>
  <si>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</si>
  <si>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</si>
  <si>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</si>
  <si>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</si>
  <si>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</si>
  <si>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</si>
  <si>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</si>
  <si>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</si>
  <si>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</si>
  <si>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</si>
  <si>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</si>
  <si>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</si>
  <si>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</si>
  <si>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</si>
  <si>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</si>
  <si>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</si>
  <si>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</si>
  <si>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</si>
  <si>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</si>
  <si>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</si>
  <si>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</si>
  <si>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</si>
  <si>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</si>
  <si>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</si>
  <si>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</si>
  <si>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</si>
  <si>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</si>
  <si>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</si>
  <si>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</si>
  <si>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</si>
  <si>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</si>
  <si>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</si>
  <si>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</si>
  <si>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</si>
  <si>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</si>
  <si>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</si>
  <si>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</si>
  <si>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</si>
  <si>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</si>
  <si>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</si>
  <si>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</si>
  <si>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</si>
  <si>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</si>
  <si>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</si>
  <si>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</si>
  <si>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</si>
  <si>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</si>
  <si>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</si>
  <si>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</si>
  <si>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</si>
  <si>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</si>
  <si>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</si>
  <si>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</si>
  <si>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</si>
  <si>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</si>
  <si>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</si>
  <si>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</si>
  <si>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</si>
  <si>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</si>
  <si>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</si>
  <si>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</si>
  <si>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</si>
  <si>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</si>
  <si>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</si>
  <si>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</si>
  <si>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</si>
  <si>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</si>
  <si>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</si>
  <si>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</si>
  <si>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</si>
  <si>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</si>
  <si>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</si>
  <si>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</si>
  <si>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</si>
  <si>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</si>
  <si>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</si>
  <si>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</si>
  <si>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</si>
  <si>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</si>
  <si>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</si>
  <si>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</si>
  <si>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</si>
  <si>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</si>
  <si>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</si>
  <si>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</si>
  <si>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</si>
  <si>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</si>
  <si>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</si>
  <si>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</si>
  <si>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</si>
  <si>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</si>
  <si>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</si>
  <si>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</si>
  <si>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</si>
  <si>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</si>
  <si>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</si>
  <si>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</si>
  <si>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</si>
  <si>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</si>
  <si>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</si>
  <si>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</si>
  <si>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</si>
  <si>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</si>
  <si>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</si>
  <si>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</si>
  <si>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</si>
  <si>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</si>
  <si>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</si>
  <si>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</si>
  <si>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</si>
  <si>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</si>
  <si>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</si>
  <si>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</si>
  <si>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</si>
  <si>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</si>
  <si>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</si>
  <si>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</si>
  <si>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</si>
  <si>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</si>
  <si>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</si>
  <si>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</si>
  <si>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</si>
  <si>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</si>
  <si>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</si>
  <si>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</si>
  <si>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</si>
  <si>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</si>
  <si>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</si>
  <si>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</si>
  <si>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</si>
  <si>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</si>
  <si>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</si>
  <si>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</si>
  <si>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</si>
  <si>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</si>
  <si>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</si>
  <si>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</si>
  <si>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</si>
  <si>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</si>
  <si>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</si>
  <si>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</si>
  <si>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</si>
  <si>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</si>
  <si>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</si>
  <si>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</si>
  <si>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</si>
  <si>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</si>
  <si>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</si>
  <si>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</si>
  <si>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</si>
  <si>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</si>
  <si>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</si>
  <si>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</si>
  <si>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</si>
  <si>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</si>
  <si>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</si>
  <si>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</si>
  <si>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</si>
  <si>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</si>
  <si>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</si>
  <si>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</si>
  <si>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</si>
  <si>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</si>
  <si>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</si>
  <si>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</si>
  <si>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</si>
  <si>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</si>
  <si>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</si>
  <si>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</si>
  <si>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</si>
  <si>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</si>
  <si>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</si>
  <si>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</si>
  <si>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</si>
  <si>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</si>
  <si>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</si>
  <si>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</si>
  <si>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</si>
  <si>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</si>
  <si>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</si>
  <si>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</si>
  <si>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</si>
  <si>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</si>
  <si>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</si>
  <si>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</si>
  <si>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</si>
  <si>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</si>
  <si>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</si>
  <si>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</si>
  <si>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</si>
  <si>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</si>
  <si>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</si>
  <si>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</si>
  <si>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</si>
  <si>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</si>
  <si>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</si>
  <si>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</si>
  <si>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</si>
  <si>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</si>
  <si>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</si>
  <si>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</si>
  <si>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</si>
  <si>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</si>
  <si>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</si>
  <si>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</si>
  <si>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</si>
  <si>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</si>
  <si>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</si>
  <si>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</si>
  <si>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</si>
  <si>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</si>
  <si>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</si>
  <si>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</si>
  <si>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</si>
  <si>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</si>
  <si>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</si>
  <si>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</si>
  <si>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</si>
  <si>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</si>
  <si>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</si>
  <si>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</si>
  <si>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</si>
  <si>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</si>
  <si>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</si>
  <si>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</si>
  <si>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</si>
  <si>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</si>
  <si>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</si>
  <si>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</si>
  <si>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</si>
  <si>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</si>
  <si>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</si>
  <si>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</si>
  <si>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</si>
  <si>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</si>
  <si>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</si>
  <si>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</si>
  <si>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</si>
  <si>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</si>
  <si>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</si>
  <si>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</si>
  <si>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</si>
  <si>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</si>
  <si>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</si>
  <si>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</si>
  <si>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</si>
  <si>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</si>
  <si>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</si>
  <si>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</si>
  <si>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</si>
  <si>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</si>
  <si>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</si>
  <si>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</si>
  <si>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</si>
  <si>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</si>
  <si>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</si>
  <si>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</si>
  <si>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</si>
  <si>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</si>
  <si>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</si>
  <si>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</si>
  <si>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</si>
  <si>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</si>
  <si>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</si>
  <si>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</si>
  <si>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</si>
  <si>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</si>
  <si>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</si>
  <si>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</si>
  <si>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</si>
  <si>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</si>
  <si>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</si>
  <si>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</si>
  <si>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</si>
  <si>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</si>
  <si>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</si>
  <si>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</si>
  <si>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</si>
  <si>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</si>
  <si>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</si>
  <si>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</si>
  <si>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</si>
  <si>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</si>
  <si>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</si>
  <si>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</si>
  <si>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</si>
  <si>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</si>
  <si>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</si>
  <si>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</si>
  <si>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</si>
  <si>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</si>
  <si>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</si>
  <si>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</si>
  <si>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</si>
  <si>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</si>
  <si>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</si>
  <si>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</si>
  <si>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</si>
  <si>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</si>
  <si>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</si>
  <si>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</si>
  <si>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</si>
  <si>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</si>
  <si>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</si>
  <si>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</si>
  <si>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</si>
  <si>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</si>
  <si>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</si>
  <si>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</si>
  <si>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</si>
  <si>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</si>
  <si>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</si>
  <si>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</si>
  <si>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</si>
  <si>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</si>
  <si>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</si>
  <si>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</si>
  <si>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</si>
  <si>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</si>
  <si>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</si>
  <si>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</si>
  <si>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</si>
  <si>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</si>
  <si>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</si>
  <si>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</si>
  <si>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</si>
  <si>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</si>
  <si>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</si>
  <si>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</si>
  <si>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</si>
  <si>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</si>
  <si>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</si>
  <si>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</si>
  <si>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</si>
  <si>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</si>
  <si>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</si>
  <si>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</si>
  <si>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</si>
  <si>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</si>
  <si>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</si>
  <si>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</si>
  <si>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</si>
  <si>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</si>
  <si>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</si>
  <si>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</si>
  <si>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</si>
  <si>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</si>
  <si>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</si>
  <si>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</si>
  <si>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</si>
  <si>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</si>
  <si>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</si>
  <si>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</si>
  <si>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</si>
  <si>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</si>
  <si>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</si>
  <si>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</si>
  <si>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</si>
  <si>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</si>
  <si>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</si>
  <si>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</si>
  <si>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</si>
  <si>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</si>
  <si>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</si>
  <si>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</si>
  <si>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</si>
  <si>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</si>
  <si>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</si>
  <si>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</si>
  <si>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</si>
  <si>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</si>
  <si>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</si>
  <si>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</si>
  <si>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</si>
  <si>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</si>
  <si>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</si>
  <si>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</si>
  <si>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</si>
  <si>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</si>
  <si>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</si>
  <si>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</si>
  <si>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</si>
  <si>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</si>
  <si>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</si>
  <si>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</si>
  <si>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</si>
  <si>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</si>
  <si>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</si>
  <si>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</si>
  <si>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</si>
  <si>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</si>
  <si>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</si>
  <si>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</si>
  <si>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</si>
  <si>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</si>
  <si>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</si>
  <si>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</si>
  <si>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</si>
  <si>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</si>
  <si>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</si>
  <si>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</si>
  <si>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</si>
  <si>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</si>
  <si>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</si>
  <si>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</si>
  <si>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</si>
  <si>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</si>
  <si>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</si>
  <si>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</si>
  <si>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</si>
  <si>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</si>
  <si>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</si>
  <si>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</si>
  <si>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</si>
  <si>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</si>
  <si>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</si>
  <si>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</si>
  <si>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</si>
  <si>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</si>
  <si>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</si>
  <si>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</si>
  <si>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</si>
  <si>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</si>
  <si>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</si>
  <si>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</si>
  <si>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</si>
  <si>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</si>
  <si>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</si>
  <si>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</si>
  <si>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</si>
  <si>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</si>
  <si>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</si>
  <si>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</si>
  <si>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</si>
  <si>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</si>
  <si>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</si>
  <si>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</si>
  <si>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</si>
  <si>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</si>
  <si>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</si>
  <si>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</si>
  <si>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</si>
  <si>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</si>
  <si>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</si>
  <si>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</si>
  <si>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</si>
  <si>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</si>
  <si>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</si>
  <si>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</si>
  <si>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</si>
  <si>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</si>
  <si>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</si>
  <si>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</si>
  <si>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</si>
  <si>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</si>
  <si>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</si>
  <si>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</si>
  <si>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</si>
  <si>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</si>
  <si>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</si>
  <si>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</si>
  <si>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</si>
  <si>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</si>
  <si>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</si>
  <si>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</si>
  <si>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</si>
  <si>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</si>
  <si>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</si>
  <si>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</si>
  <si>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</si>
  <si>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</si>
  <si>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</si>
  <si>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</si>
  <si>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</si>
  <si>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</si>
  <si>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</si>
  <si>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</si>
  <si>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</si>
  <si>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</si>
  <si>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</si>
  <si>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</si>
  <si>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</si>
  <si>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</si>
  <si>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</si>
  <si>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</si>
  <si>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</si>
  <si>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</si>
  <si>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</si>
  <si>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</si>
  <si>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</si>
  <si>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</si>
  <si>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</si>
  <si>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</si>
  <si>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</si>
  <si>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</si>
  <si>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</si>
  <si>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</si>
  <si>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</si>
  <si>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</si>
  <si>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</si>
  <si>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</si>
  <si>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</si>
  <si>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</si>
  <si>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</si>
  <si>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</si>
  <si>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</si>
  <si>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</si>
  <si>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</si>
  <si>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</si>
  <si>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</si>
  <si>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</si>
  <si>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</si>
  <si>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</si>
  <si>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</si>
  <si>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</si>
  <si>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</si>
  <si>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</si>
  <si>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</si>
  <si>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</si>
  <si>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</si>
  <si>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</si>
  <si>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</si>
  <si>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</si>
  <si>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</si>
  <si>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</si>
  <si>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</si>
  <si>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</si>
  <si>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</si>
  <si>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</si>
  <si>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</si>
  <si>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</si>
  <si>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</si>
  <si>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</si>
  <si>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</si>
  <si>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</si>
  <si>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</si>
  <si>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</si>
  <si>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</si>
  <si>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</si>
  <si>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</si>
  <si>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</si>
  <si>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</si>
  <si>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</si>
  <si>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</si>
  <si>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</si>
  <si>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</si>
  <si>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</si>
  <si>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</si>
  <si>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</si>
  <si>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</si>
  <si>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</si>
  <si>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</si>
  <si>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</si>
  <si>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</si>
  <si>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</si>
  <si>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</si>
  <si>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</si>
  <si>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</si>
  <si>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</si>
  <si>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</si>
  <si>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</si>
  <si>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</si>
  <si>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</si>
  <si>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</si>
  <si>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</si>
  <si>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</si>
  <si>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</si>
  <si>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</si>
  <si>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</si>
  <si>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</si>
  <si>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</si>
  <si>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</si>
  <si>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</si>
  <si>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</si>
  <si>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</si>
  <si>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</si>
  <si>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</si>
  <si>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</si>
  <si>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</si>
  <si>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</si>
  <si>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</si>
  <si>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</si>
  <si>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</si>
  <si>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</si>
  <si>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</si>
  <si>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</si>
  <si>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</si>
  <si>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</si>
  <si>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</si>
  <si>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</si>
  <si>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</si>
  <si>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</si>
  <si>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</si>
  <si>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</si>
  <si>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</si>
  <si>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</si>
  <si>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</si>
  <si>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</si>
  <si>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</si>
  <si>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</si>
  <si>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</si>
  <si>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</si>
  <si>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</si>
  <si>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</si>
  <si>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</si>
  <si>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</si>
  <si>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</si>
  <si>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</si>
  <si>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</si>
  <si>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</si>
  <si>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</si>
  <si>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</si>
  <si>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</si>
  <si>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</si>
  <si>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</si>
  <si>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</si>
  <si>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</si>
  <si>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</si>
  <si>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</si>
  <si>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</si>
  <si>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</si>
  <si>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</si>
  <si>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</si>
  <si>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</si>
  <si>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</si>
  <si>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</si>
  <si>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</si>
  <si>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</si>
  <si>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</si>
  <si>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</si>
  <si>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</si>
  <si>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</si>
  <si>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</si>
  <si>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</si>
  <si>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</si>
  <si>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</si>
  <si>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</si>
  <si>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</si>
  <si>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</si>
  <si>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</si>
  <si>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</si>
  <si>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</si>
  <si>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</si>
  <si>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</si>
  <si>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</si>
  <si>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</si>
  <si>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</si>
  <si>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</si>
  <si>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</si>
  <si>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</si>
  <si>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</si>
  <si>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</si>
  <si>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</si>
  <si>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</si>
  <si>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</si>
  <si>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</si>
  <si>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</si>
  <si>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</si>
  <si>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</si>
  <si>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</si>
  <si>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</si>
  <si>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</si>
  <si>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</si>
  <si>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</si>
  <si>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</si>
  <si>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</si>
  <si>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</si>
  <si>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</si>
  <si>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</si>
  <si>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</si>
  <si>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</si>
  <si>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</si>
  <si>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</si>
  <si>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</si>
  <si>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</si>
  <si>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</si>
  <si>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</si>
  <si>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</si>
  <si>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</si>
  <si>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</si>
  <si>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</si>
  <si>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</si>
  <si>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</si>
  <si>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</si>
  <si>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</si>
  <si>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</si>
  <si>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</si>
  <si>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</si>
  <si>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</si>
  <si>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</si>
  <si>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</si>
  <si>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</si>
  <si>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</si>
  <si>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</si>
  <si>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</si>
  <si>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</si>
  <si>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</si>
  <si>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</si>
  <si>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</si>
  <si>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</si>
  <si>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</si>
  <si>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</si>
  <si>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</si>
  <si>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</si>
  <si>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</si>
  <si>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</si>
  <si>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</si>
  <si>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</si>
  <si>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</si>
  <si>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</si>
  <si>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</si>
  <si>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</si>
  <si>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</si>
  <si>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</si>
  <si>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</si>
  <si>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</si>
  <si>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</si>
  <si>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</si>
  <si>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</si>
  <si>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</si>
  <si>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</si>
  <si>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</si>
  <si>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</si>
  <si>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</si>
  <si>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</si>
  <si>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</si>
  <si>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</si>
  <si>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</si>
  <si>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</si>
  <si>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</si>
  <si>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</si>
  <si>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</si>
  <si>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</si>
  <si>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</si>
  <si>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</si>
  <si>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</si>
  <si>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</si>
  <si>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</si>
  <si>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</si>
  <si>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</si>
  <si>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</si>
  <si>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</si>
  <si>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</si>
  <si>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</si>
  <si>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</si>
  <si>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</si>
  <si>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</si>
  <si>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</si>
  <si>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</si>
  <si>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</si>
  <si>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</si>
  <si>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</si>
  <si>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</si>
  <si>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</si>
  <si>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</si>
  <si>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</si>
  <si>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</si>
  <si>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</si>
  <si>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</si>
  <si>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</si>
  <si>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</si>
  <si>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</si>
  <si>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</si>
  <si>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</si>
  <si>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</si>
  <si>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</si>
  <si>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</si>
  <si>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</si>
  <si>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</si>
  <si>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</si>
  <si>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</si>
  <si>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</si>
  <si>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</si>
  <si>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</si>
  <si>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</si>
  <si>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</si>
  <si>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</si>
  <si>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</si>
  <si>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</si>
  <si>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</si>
  <si>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</si>
  <si>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</si>
  <si>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</si>
  <si>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</si>
  <si>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</si>
  <si>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</si>
  <si>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</si>
  <si>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</si>
  <si>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</si>
  <si>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</si>
  <si>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</si>
  <si>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</si>
  <si>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</si>
  <si>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</si>
  <si>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</si>
  <si>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</si>
  <si>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</si>
  <si>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</si>
  <si>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</si>
  <si>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</si>
  <si>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</si>
  <si>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</si>
  <si>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</si>
  <si>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</si>
  <si>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</si>
  <si>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</si>
  <si>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</si>
  <si>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</si>
  <si>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</si>
  <si>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</si>
  <si>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</si>
  <si>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</si>
  <si>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</si>
  <si>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</si>
  <si>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</si>
  <si>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</si>
  <si>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</si>
  <si>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</si>
  <si>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</si>
  <si>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</si>
  <si>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</si>
  <si>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</si>
  <si>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</si>
  <si>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</si>
  <si>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</si>
  <si>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</si>
  <si>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</si>
  <si>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</si>
  <si>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</si>
  <si>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</si>
  <si>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</si>
  <si>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</si>
  <si>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</si>
  <si>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</si>
  <si>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</si>
  <si>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</si>
  <si>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</si>
  <si>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</si>
  <si>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</si>
  <si>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</si>
  <si>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</si>
  <si>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</si>
  <si>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</si>
  <si>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</si>
  <si>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</si>
  <si>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</si>
  <si>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</si>
  <si>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</si>
  <si>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</si>
  <si>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</si>
  <si>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</si>
  <si>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</si>
  <si>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</si>
  <si>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</si>
  <si>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</si>
  <si>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</si>
  <si>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</si>
  <si>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</si>
  <si>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</si>
  <si>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</si>
  <si>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</si>
  <si>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</si>
  <si>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</si>
  <si>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</si>
  <si>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</si>
  <si>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</si>
  <si>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</si>
  <si>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</si>
  <si>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</si>
  <si>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</si>
  <si>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</si>
  <si>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</si>
  <si>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</si>
  <si>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</si>
  <si>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</si>
  <si>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</si>
  <si>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</si>
  <si>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</si>
  <si>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</si>
  <si>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</si>
  <si>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</si>
  <si>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</si>
  <si>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</si>
  <si>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</si>
  <si>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</si>
  <si>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</si>
  <si>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</si>
  <si>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</si>
  <si>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</si>
  <si>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</si>
  <si>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</si>
  <si>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</si>
  <si>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</si>
  <si>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</si>
  <si>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</si>
  <si>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</si>
  <si>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</si>
  <si>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</si>
  <si>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</si>
  <si>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</si>
  <si>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</si>
  <si>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</si>
  <si>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</si>
  <si>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</si>
  <si>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</si>
  <si>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</si>
  <si>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</si>
  <si>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</si>
  <si>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</si>
  <si>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</si>
  <si>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</si>
  <si>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</si>
  <si>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</si>
  <si>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</si>
  <si>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</si>
  <si>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</si>
  <si>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</si>
  <si>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</si>
  <si>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</si>
  <si>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</si>
  <si>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</si>
  <si>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</si>
  <si>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</si>
  <si>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</si>
  <si>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</si>
  <si>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</si>
  <si>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</si>
  <si>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</si>
  <si>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</si>
  <si>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</si>
  <si>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</si>
  <si>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</si>
  <si>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</si>
  <si>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</si>
  <si>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</si>
  <si>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</si>
  <si>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</si>
  <si>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</si>
  <si>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</si>
  <si>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</si>
  <si>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</si>
  <si>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</si>
  <si>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</si>
  <si>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</si>
  <si>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</si>
  <si>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</si>
  <si>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</si>
  <si>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</si>
  <si>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</si>
  <si>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</si>
  <si>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</si>
  <si>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</si>
  <si>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</si>
  <si>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</si>
  <si>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</si>
  <si>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</si>
  <si>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</si>
  <si>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</si>
  <si>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</si>
  <si>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</si>
  <si>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</si>
  <si>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</si>
  <si>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</si>
  <si>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</si>
  <si>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</si>
  <si>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</si>
  <si>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</si>
  <si>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</si>
  <si>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</si>
  <si>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</si>
  <si>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</si>
  <si>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</si>
  <si>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</si>
  <si>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</si>
  <si>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</si>
  <si>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</si>
  <si>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</si>
  <si>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</si>
  <si>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</si>
  <si>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</si>
  <si>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</si>
  <si>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</si>
  <si>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</si>
  <si>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</si>
  <si>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</si>
  <si>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</si>
  <si>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</si>
  <si>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</si>
  <si>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</si>
  <si>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</si>
  <si>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</si>
  <si>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</si>
  <si>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</si>
  <si>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</si>
  <si>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</si>
  <si>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</si>
  <si>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</si>
  <si>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</si>
  <si>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</si>
  <si>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</si>
  <si>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</si>
  <si>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</si>
  <si>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</si>
  <si>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</si>
  <si>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</si>
  <si>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</si>
  <si>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</si>
  <si>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</si>
  <si>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</si>
  <si>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</si>
  <si>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</si>
  <si>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</si>
  <si>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</si>
  <si>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</si>
  <si>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</si>
  <si>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</si>
  <si>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</si>
  <si>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</si>
  <si>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</si>
  <si>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</si>
  <si>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</si>
  <si>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</si>
  <si>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</si>
  <si>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</si>
  <si>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</si>
  <si>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</si>
  <si>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</si>
  <si>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</si>
  <si>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</si>
  <si>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</si>
  <si>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</si>
  <si>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</si>
  <si>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</si>
  <si>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</si>
  <si>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</si>
  <si>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</si>
  <si>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</si>
  <si>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</si>
  <si>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</si>
  <si>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</si>
  <si>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</si>
  <si>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</si>
  <si>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</si>
  <si>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</si>
  <si>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</si>
  <si>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</si>
  <si>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</si>
  <si>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</si>
  <si>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</si>
  <si>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</si>
  <si>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</si>
  <si>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</si>
  <si>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</si>
  <si>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</si>
  <si>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</si>
  <si>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</si>
  <si>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</si>
  <si>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</si>
  <si>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</si>
  <si>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</si>
  <si>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</si>
  <si>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</si>
  <si>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</si>
  <si>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</si>
  <si>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</si>
  <si>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</si>
  <si>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</si>
  <si>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</si>
  <si>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</si>
  <si>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</si>
  <si>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</si>
  <si>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</si>
  <si>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</si>
  <si>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</si>
  <si>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</si>
  <si>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</si>
  <si>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</si>
  <si>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</si>
  <si>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</si>
  <si>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</si>
  <si>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</si>
  <si>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</si>
  <si>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</si>
  <si>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</si>
  <si>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</si>
  <si>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</si>
  <si>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</si>
  <si>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</si>
  <si>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</si>
  <si>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</si>
  <si>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</si>
  <si>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</si>
  <si>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</si>
  <si>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</si>
  <si>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</si>
  <si>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</si>
  <si>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</si>
  <si>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</si>
  <si>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</si>
  <si>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</si>
  <si>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</si>
  <si>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</si>
  <si>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</si>
  <si>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</si>
  <si>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</si>
  <si>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</si>
  <si>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</si>
  <si>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</si>
  <si>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</si>
  <si>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</si>
  <si>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</si>
  <si>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</si>
  <si>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</si>
  <si>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</si>
  <si>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</si>
  <si>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</si>
  <si>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</si>
  <si>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</si>
  <si>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</si>
  <si>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</si>
  <si>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</si>
  <si>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</si>
  <si>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</si>
  <si>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</si>
  <si>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</si>
  <si>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</si>
  <si>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</si>
  <si>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</si>
  <si>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</si>
  <si>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</si>
  <si>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</si>
  <si>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</si>
  <si>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</si>
  <si>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</si>
  <si>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</si>
  <si>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</si>
  <si>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</si>
  <si>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</si>
  <si>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</si>
  <si>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</si>
  <si>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</si>
  <si>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</si>
  <si>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</si>
  <si>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</si>
  <si>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</si>
  <si>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</si>
  <si>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</si>
  <si>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</si>
  <si>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</si>
  <si>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</si>
  <si>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</si>
  <si>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</si>
  <si>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</si>
  <si>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</si>
  <si>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</si>
  <si>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</si>
  <si>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</si>
  <si>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</si>
  <si>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</si>
  <si>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</si>
  <si>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</si>
  <si>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</si>
  <si>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</si>
  <si>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</si>
  <si>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</si>
  <si>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</si>
  <si>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</si>
  <si>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</si>
  <si>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</si>
  <si>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</si>
  <si>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</si>
  <si>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</si>
  <si>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</si>
  <si>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</si>
  <si>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</si>
  <si>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</si>
  <si>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</si>
  <si>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</si>
  <si>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</si>
  <si>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</si>
  <si>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</si>
  <si>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</si>
  <si>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</si>
  <si>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</si>
  <si>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</si>
  <si>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</si>
  <si>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</si>
  <si>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</si>
  <si>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</si>
  <si>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</si>
  <si>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</si>
  <si>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</si>
  <si>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</si>
  <si>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</si>
  <si>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</si>
  <si>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</si>
  <si>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</si>
  <si>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</si>
  <si>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</si>
  <si>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</si>
  <si>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</si>
  <si>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</si>
  <si>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</si>
  <si>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</si>
  <si>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</si>
  <si>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</si>
  <si>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</si>
  <si>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</si>
  <si>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</si>
  <si>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</si>
  <si>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</si>
  <si>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</si>
  <si>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</si>
  <si>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</si>
  <si>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</si>
  <si>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</si>
  <si>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</si>
  <si>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</si>
  <si>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</si>
  <si>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</si>
  <si>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</si>
  <si>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</si>
  <si>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</si>
  <si>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</si>
  <si>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</si>
  <si>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</si>
  <si>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</si>
  <si>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</si>
  <si>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</si>
  <si>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</si>
  <si>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</si>
  <si>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</si>
  <si>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</si>
  <si>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</si>
  <si>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</si>
  <si>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</si>
  <si>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</si>
  <si>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</si>
  <si>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</si>
  <si>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</si>
  <si>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</si>
  <si>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</si>
  <si>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</si>
  <si>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</si>
  <si>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</si>
  <si>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</si>
  <si>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</si>
  <si>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</si>
  <si>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</si>
  <si>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</si>
  <si>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</si>
  <si>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</si>
  <si>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</si>
  <si>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</si>
  <si>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</si>
  <si>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</si>
  <si>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</si>
  <si>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</si>
  <si>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</si>
  <si>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</si>
  <si>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</si>
  <si>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</si>
  <si>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</si>
  <si>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</si>
  <si>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</si>
  <si>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</si>
  <si>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</si>
  <si>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</si>
  <si>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</si>
  <si>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</si>
  <si>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</si>
  <si>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</si>
  <si>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</si>
  <si>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</si>
  <si>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</si>
  <si>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</si>
  <si>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</si>
  <si>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</si>
  <si>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</si>
  <si>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</si>
  <si>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</si>
  <si>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</si>
  <si>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</si>
  <si>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</si>
  <si>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</si>
  <si>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</si>
  <si>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</si>
  <si>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</si>
  <si>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</si>
  <si>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</si>
  <si>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</si>
  <si>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</si>
  <si>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</si>
  <si>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</si>
  <si>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</si>
  <si>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</si>
  <si>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</si>
  <si>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</si>
  <si>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</si>
  <si>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</si>
  <si>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</si>
  <si>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</si>
  <si>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</si>
  <si>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</si>
  <si>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</si>
  <si>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</si>
  <si>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</si>
  <si>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</si>
  <si>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</si>
  <si>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</si>
  <si>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</si>
  <si>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</si>
  <si>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</si>
  <si>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</si>
  <si>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</si>
  <si>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</si>
  <si>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</si>
  <si>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</si>
  <si>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</si>
  <si>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</si>
  <si>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</si>
  <si>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</si>
  <si>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</si>
  <si>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</si>
  <si>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</si>
  <si>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</si>
  <si>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</si>
  <si>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</si>
  <si>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</si>
  <si>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</si>
  <si>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</si>
  <si>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</si>
  <si>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</si>
  <si>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</si>
  <si>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</si>
  <si>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</si>
  <si>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</si>
  <si>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</si>
  <si>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</si>
  <si>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</si>
  <si>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</si>
  <si>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</si>
  <si>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</si>
  <si>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</si>
  <si>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</si>
  <si>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</si>
  <si>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</si>
  <si>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</si>
  <si>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</si>
  <si>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</si>
  <si>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</si>
  <si>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</si>
  <si>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</si>
  <si>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</si>
  <si>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</si>
  <si>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</si>
  <si>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</si>
  <si>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</si>
  <si>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</si>
  <si>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</si>
  <si>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</si>
  <si>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</si>
  <si>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</si>
  <si>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</si>
  <si>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</si>
  <si>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</si>
  <si>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</si>
  <si>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</si>
  <si>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</si>
  <si>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</si>
  <si>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</si>
  <si>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</si>
  <si>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</si>
  <si>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</si>
  <si>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</si>
  <si>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</si>
  <si>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</si>
  <si>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</si>
  <si>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</si>
  <si>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</si>
  <si>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</si>
  <si>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</si>
  <si>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</si>
  <si>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</si>
  <si>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</si>
  <si>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</si>
  <si>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</si>
  <si>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</si>
  <si>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</si>
  <si>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</si>
  <si>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</si>
  <si>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</si>
  <si>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</si>
  <si>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</si>
  <si>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</si>
  <si>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</si>
  <si>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</si>
  <si>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</si>
  <si>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</si>
  <si>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</si>
  <si>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</si>
  <si>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</si>
  <si>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</si>
  <si>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</si>
  <si>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</si>
  <si>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</si>
  <si>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</si>
  <si>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</si>
  <si>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</si>
  <si>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</si>
  <si>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</si>
  <si>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</si>
  <si>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</si>
  <si>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</si>
  <si>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</si>
  <si>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</si>
  <si>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</si>
  <si>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</si>
  <si>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</si>
  <si>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</si>
  <si>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</si>
  <si>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</si>
  <si>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</si>
  <si>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</si>
  <si>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</si>
  <si>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</si>
  <si>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</si>
  <si>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</si>
  <si>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</si>
  <si>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</si>
  <si>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</si>
  <si>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</si>
  <si>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</si>
  <si>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</si>
  <si>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</si>
  <si>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</si>
  <si>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</si>
  <si>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</si>
  <si>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</si>
  <si>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</si>
  <si>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</si>
  <si>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</si>
  <si>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</si>
  <si>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</si>
  <si>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</si>
  <si>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</si>
  <si>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</si>
  <si>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</si>
  <si>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</si>
  <si>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</si>
  <si>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</si>
  <si>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</si>
  <si>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</si>
  <si>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</si>
  <si>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</si>
  <si>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</si>
  <si>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</si>
  <si>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</si>
  <si>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</si>
  <si>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</si>
  <si>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</si>
  <si>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</si>
  <si>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</si>
  <si>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</si>
  <si>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</si>
  <si>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</si>
  <si>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</si>
  <si>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</si>
  <si>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</si>
  <si>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</si>
  <si>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</si>
  <si>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</si>
  <si>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</si>
  <si>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</si>
  <si>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</si>
  <si>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</si>
  <si>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</si>
  <si>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</si>
  <si>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</si>
  <si>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</si>
  <si>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</si>
  <si>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</si>
  <si>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</si>
  <si>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</si>
  <si>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</si>
  <si>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</si>
  <si>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</si>
  <si>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</si>
  <si>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</si>
  <si>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</si>
  <si>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</si>
  <si>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</si>
  <si>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</si>
  <si>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</si>
  <si>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</si>
  <si>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</si>
  <si>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</si>
  <si>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</si>
  <si>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</si>
  <si>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</si>
  <si>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</si>
  <si>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</si>
  <si>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</si>
  <si>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</si>
  <si>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</si>
  <si>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</si>
  <si>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</si>
  <si>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</si>
  <si>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</si>
  <si>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</si>
  <si>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</si>
  <si>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</si>
  <si>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</si>
  <si>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</si>
  <si>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</si>
  <si>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</si>
  <si>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</si>
  <si>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</si>
  <si>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</si>
  <si>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</si>
  <si>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</si>
  <si>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</si>
  <si>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</si>
  <si>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</si>
  <si>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</si>
  <si>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</si>
  <si>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</si>
  <si>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</si>
  <si>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</si>
  <si>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</si>
  <si>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</si>
  <si>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</si>
  <si>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</si>
  <si>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</si>
  <si>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</si>
  <si>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</si>
  <si>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</si>
  <si>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</si>
  <si>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</si>
  <si>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</si>
  <si>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</si>
  <si>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</si>
  <si>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</si>
  <si>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</si>
  <si>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</si>
  <si>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</si>
  <si>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</si>
  <si>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</si>
  <si>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</si>
  <si>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</si>
  <si>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</si>
  <si>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</si>
  <si>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</si>
  <si>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</si>
  <si>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</si>
  <si>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</si>
  <si>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</si>
  <si>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</si>
  <si>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</si>
  <si>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</si>
  <si>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</si>
  <si>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</si>
  <si>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</si>
  <si>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</si>
  <si>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</si>
  <si>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</si>
  <si>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</si>
  <si>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</si>
  <si>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</si>
  <si>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</si>
  <si>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</si>
  <si>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</si>
  <si>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</si>
  <si>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</si>
  <si>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</si>
  <si>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</si>
  <si>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</si>
  <si>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</si>
  <si>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</si>
  <si>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</si>
  <si>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</si>
  <si>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</si>
  <si>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</si>
  <si>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</si>
  <si>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</si>
  <si>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</si>
  <si>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</si>
  <si>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</si>
  <si>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</si>
  <si>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</si>
  <si>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</si>
  <si>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</si>
  <si>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</si>
  <si>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</si>
  <si>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</si>
  <si>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</si>
  <si>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</si>
  <si>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</si>
  <si>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</si>
  <si>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</si>
  <si>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</si>
  <si>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</si>
  <si>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</si>
  <si>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</si>
  <si>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</si>
  <si>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</si>
  <si>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</si>
  <si>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</si>
  <si>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</si>
  <si>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</si>
  <si>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</si>
  <si>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</si>
  <si>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</si>
  <si>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</si>
  <si>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</si>
  <si>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</si>
  <si>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</si>
  <si>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</si>
  <si>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</si>
  <si>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</si>
  <si>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</si>
  <si>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</si>
  <si>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</si>
  <si>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</si>
  <si>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</si>
  <si>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</si>
  <si>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</si>
  <si>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</si>
  <si>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</si>
  <si>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</si>
  <si>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</si>
  <si>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</si>
  <si>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</si>
  <si>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</si>
  <si>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</si>
  <si>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</si>
  <si>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</si>
  <si>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</si>
  <si>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</si>
  <si>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</si>
  <si>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</si>
  <si>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</si>
  <si>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</si>
  <si>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</si>
  <si>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</si>
  <si>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</si>
  <si>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</si>
  <si>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</si>
  <si>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</si>
  <si>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</si>
  <si>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</si>
  <si>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</si>
  <si>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</si>
  <si>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</si>
  <si>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</si>
  <si>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</si>
  <si>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</si>
  <si>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</si>
  <si>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</si>
  <si>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</si>
  <si>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</si>
  <si>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</si>
  <si>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</si>
  <si>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</si>
  <si>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</si>
  <si>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</si>
  <si>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</si>
  <si>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</si>
  <si>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</si>
  <si>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</si>
  <si>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</si>
  <si>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</si>
  <si>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</si>
  <si>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</si>
  <si>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</si>
  <si>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</si>
  <si>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</si>
  <si>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</si>
  <si>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</si>
  <si>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</si>
  <si>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</si>
  <si>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</si>
  <si>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</si>
  <si>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</si>
  <si>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</si>
  <si>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</si>
  <si>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</si>
  <si>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</si>
  <si>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</si>
  <si>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</si>
  <si>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</si>
  <si>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</si>
  <si>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</si>
  <si>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</si>
  <si>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</si>
  <si>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</si>
  <si>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</si>
  <si>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</si>
  <si>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</si>
  <si>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</si>
  <si>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</si>
  <si>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</si>
  <si>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</si>
  <si>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</si>
  <si>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</si>
  <si>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</si>
  <si>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</si>
  <si>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</si>
  <si>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</si>
  <si>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</si>
  <si>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</si>
  <si>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</si>
  <si>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</si>
  <si>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</si>
  <si>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</si>
  <si>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</si>
  <si>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</si>
  <si>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</si>
  <si>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</si>
  <si>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</si>
  <si>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</si>
  <si>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</si>
  <si>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</si>
  <si>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</si>
  <si>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</si>
  <si>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</si>
  <si>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</si>
  <si>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</si>
  <si>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</si>
  <si>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</si>
  <si>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</si>
  <si>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</si>
  <si>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</si>
  <si>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</si>
  <si>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</si>
  <si>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</si>
  <si>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</si>
  <si>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</si>
  <si>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</si>
  <si>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</si>
  <si>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</si>
  <si>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</si>
  <si>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</si>
  <si>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</si>
  <si>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</si>
  <si>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</si>
  <si>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</si>
  <si>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</si>
  <si>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</si>
  <si>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</si>
  <si>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</si>
  <si>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</si>
  <si>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</si>
  <si>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</si>
  <si>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</si>
  <si>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</si>
  <si>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</si>
  <si>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</si>
  <si>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</si>
  <si>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</si>
  <si>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</si>
  <si>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</si>
  <si>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</si>
  <si>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</si>
  <si>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</si>
  <si>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</si>
  <si>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</si>
  <si>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</si>
  <si>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</si>
  <si>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</si>
  <si>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</si>
  <si>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</si>
  <si>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</si>
  <si>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</si>
  <si>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</si>
  <si>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</si>
  <si>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</si>
  <si>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</si>
  <si>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</si>
  <si>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</si>
  <si>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</si>
  <si>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</si>
  <si>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</si>
  <si>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</si>
  <si>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</si>
  <si>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</si>
  <si>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</si>
  <si>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</si>
  <si>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</si>
  <si>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</si>
  <si>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</si>
  <si>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</si>
  <si>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</si>
  <si>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</si>
  <si>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</si>
  <si>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</si>
  <si>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</si>
  <si>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</si>
  <si>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</si>
  <si>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</si>
  <si>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</si>
  <si>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</si>
  <si>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</si>
  <si>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</si>
  <si>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</si>
  <si>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</si>
  <si>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</si>
  <si>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</si>
  <si>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</si>
  <si>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</si>
  <si>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</si>
  <si>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</si>
  <si>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</si>
  <si>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</si>
  <si>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</si>
  <si>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</si>
  <si>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</si>
  <si>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</si>
  <si>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</si>
  <si>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</si>
  <si>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</si>
  <si>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</si>
  <si>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</si>
  <si>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</si>
  <si>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</si>
  <si>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</si>
  <si>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</si>
  <si>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</si>
  <si>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</si>
  <si>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</si>
  <si>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</si>
  <si>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</si>
  <si>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</si>
  <si>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</si>
  <si>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</si>
  <si>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</si>
  <si>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</si>
  <si>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</si>
  <si>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</si>
  <si>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</si>
  <si>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</si>
  <si>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</si>
  <si>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</si>
  <si>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</si>
  <si>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</si>
  <si>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</si>
  <si>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</si>
  <si>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</si>
  <si>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</si>
  <si>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</si>
  <si>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</si>
  <si>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</si>
  <si>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</si>
  <si>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</si>
  <si>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</si>
  <si>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</si>
  <si>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</si>
  <si>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</si>
  <si>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</si>
  <si>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</si>
  <si>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</si>
  <si>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</si>
  <si>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</si>
  <si>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</si>
  <si>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</si>
  <si>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</si>
  <si>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</si>
  <si>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</si>
  <si>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</si>
  <si>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</si>
  <si>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</si>
  <si>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</si>
  <si>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</si>
  <si>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</si>
  <si>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</si>
  <si>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</si>
  <si>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</si>
  <si>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</si>
  <si>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</si>
  <si>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</si>
  <si>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</si>
  <si>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</si>
  <si>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</si>
  <si>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</si>
  <si>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</si>
  <si>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</si>
  <si>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</si>
  <si>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</si>
  <si>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</si>
  <si>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</si>
  <si>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</si>
  <si>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</si>
  <si>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</si>
  <si>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</si>
  <si>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</si>
  <si>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</si>
  <si>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</si>
  <si>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</si>
  <si>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</si>
  <si>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</si>
  <si>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</si>
  <si>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</si>
  <si>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</si>
  <si>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</si>
  <si>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</si>
  <si>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</si>
  <si>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</si>
  <si>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</si>
  <si>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</si>
  <si>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</si>
  <si>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</si>
  <si>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</si>
  <si>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</si>
  <si>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</si>
  <si>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</si>
  <si>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</si>
  <si>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</si>
  <si>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</si>
  <si>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</si>
  <si>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</si>
  <si>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</si>
  <si>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</si>
  <si>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</si>
  <si>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</si>
  <si>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</si>
  <si>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</si>
  <si>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</si>
  <si>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</si>
  <si>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</si>
  <si>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</si>
  <si>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</si>
  <si>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</si>
  <si>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</si>
  <si>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</si>
  <si>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</si>
  <si>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</si>
  <si>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</si>
  <si>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</si>
  <si>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</si>
  <si>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</si>
  <si>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</si>
  <si>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</si>
  <si>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</si>
  <si>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</si>
  <si>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</si>
  <si>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</si>
  <si>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</si>
  <si>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</si>
  <si>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</si>
  <si>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</si>
  <si>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</si>
  <si>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</si>
  <si>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</si>
  <si>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</si>
  <si>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</si>
  <si>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</si>
  <si>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</si>
  <si>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</si>
  <si>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</si>
  <si>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</si>
  <si>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</si>
  <si>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</si>
  <si>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</si>
  <si>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</si>
  <si>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</si>
  <si>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</si>
  <si>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</si>
  <si>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</si>
  <si>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</si>
  <si>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</si>
  <si>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</si>
  <si>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</si>
  <si>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</si>
  <si>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</si>
  <si>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</si>
  <si>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</si>
  <si>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</si>
  <si>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</si>
  <si>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</si>
  <si>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</si>
  <si>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</si>
  <si>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</si>
  <si>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</si>
  <si>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</si>
  <si>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</si>
  <si>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</si>
  <si>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</si>
  <si>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</si>
  <si>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</si>
  <si>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</si>
  <si>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</si>
  <si>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</si>
  <si>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</si>
  <si>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</si>
  <si>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</si>
  <si>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</si>
  <si>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</si>
  <si>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</si>
  <si>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</si>
  <si>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</si>
  <si>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</si>
  <si>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</si>
  <si>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</si>
  <si>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</si>
  <si>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</si>
  <si>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</si>
  <si>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</si>
  <si>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</si>
  <si>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</si>
  <si>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</si>
  <si>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</si>
  <si>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</si>
  <si>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</si>
  <si>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</si>
  <si>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</si>
  <si>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</si>
  <si>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</si>
  <si>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</si>
  <si>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</si>
  <si>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</si>
  <si>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</si>
  <si>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</si>
  <si>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</si>
  <si>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</si>
  <si>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</si>
  <si>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</si>
  <si>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</si>
  <si>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</si>
  <si>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</si>
  <si>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</si>
  <si>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</si>
  <si>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</si>
  <si>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</si>
  <si>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</si>
  <si>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</si>
  <si>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</si>
  <si>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</si>
  <si>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</si>
  <si>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</si>
  <si>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</si>
  <si>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</si>
  <si>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</si>
  <si>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</si>
  <si>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</si>
  <si>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</si>
  <si>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</si>
  <si>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</si>
  <si>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</si>
  <si>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</si>
  <si>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</si>
  <si>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</si>
  <si>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</si>
  <si>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</si>
  <si>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</si>
  <si>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</si>
  <si>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</si>
  <si>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</si>
  <si>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</si>
  <si>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</si>
  <si>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</si>
  <si>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</si>
  <si>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</si>
  <si>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</si>
  <si>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</si>
  <si>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</si>
  <si>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</si>
  <si>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</si>
  <si>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</si>
  <si>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</si>
  <si>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</si>
  <si>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</si>
  <si>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</si>
  <si>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</si>
  <si>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</si>
  <si>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</si>
  <si>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</si>
  <si>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</si>
  <si>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</si>
  <si>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</si>
  <si>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</si>
  <si>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</si>
  <si>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</si>
  <si>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</si>
  <si>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</si>
  <si>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</si>
  <si>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</si>
  <si>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</si>
  <si>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</si>
  <si>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</si>
  <si>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</si>
  <si>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</si>
  <si>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</si>
  <si>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</si>
  <si>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</si>
  <si>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</si>
  <si>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</si>
  <si>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</si>
  <si>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</si>
  <si>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</si>
  <si>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</si>
  <si>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</si>
  <si>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</si>
  <si>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</si>
  <si>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</si>
  <si>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</si>
  <si>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</si>
  <si>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</si>
  <si>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</si>
  <si>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</si>
  <si>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</si>
  <si>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</si>
  <si>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</si>
  <si>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</si>
  <si>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</si>
  <si>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</si>
  <si>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</si>
  <si>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</si>
  <si>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</si>
  <si>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</si>
  <si>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</si>
  <si>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</si>
  <si>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</si>
  <si>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</si>
  <si>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</si>
  <si>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</si>
  <si>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</si>
  <si>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</si>
  <si>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</si>
  <si>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</si>
  <si>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</si>
  <si>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</si>
  <si>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</si>
  <si>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</si>
  <si>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</si>
  <si>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</si>
  <si>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</si>
  <si>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</si>
  <si>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</si>
  <si>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</si>
  <si>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</si>
  <si>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</si>
  <si>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</si>
  <si>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</si>
  <si>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</si>
  <si>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</si>
  <si>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</si>
  <si>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</si>
  <si>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</si>
  <si>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</si>
  <si>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</si>
  <si>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</si>
  <si>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</si>
  <si>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</si>
  <si>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</si>
  <si>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</si>
  <si>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</si>
  <si>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</si>
  <si>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</si>
  <si>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</si>
  <si>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</si>
  <si>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</si>
  <si>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</si>
  <si>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</si>
  <si>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</si>
  <si>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</si>
  <si>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</si>
  <si>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</si>
  <si>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</si>
  <si>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</si>
  <si>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</si>
  <si>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</si>
  <si>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</si>
  <si>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</si>
  <si>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</si>
  <si>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</si>
  <si>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</si>
  <si>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</si>
  <si>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</si>
  <si>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</si>
  <si>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</si>
  <si>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</si>
  <si>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</si>
  <si>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</si>
  <si>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</si>
  <si>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</si>
  <si>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</si>
  <si>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</si>
  <si>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</si>
  <si>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</si>
  <si>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</si>
  <si>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</si>
  <si>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</si>
  <si>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</si>
  <si>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</si>
  <si>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</si>
  <si>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</si>
  <si>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</si>
  <si>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</si>
  <si>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</si>
  <si>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</si>
  <si>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</si>
  <si>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</si>
  <si>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</si>
  <si>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</si>
  <si>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</si>
  <si>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</si>
  <si>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</si>
  <si>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</si>
  <si>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</si>
  <si>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</si>
  <si>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</si>
  <si>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</si>
  <si>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</si>
  <si>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</si>
  <si>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</si>
  <si>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</si>
  <si>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</si>
  <si>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</si>
  <si>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</si>
  <si>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</si>
  <si>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</si>
  <si>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</si>
  <si>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</si>
  <si>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</si>
  <si>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</si>
  <si>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</si>
  <si>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</si>
  <si>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</si>
  <si>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</si>
  <si>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</si>
  <si>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</si>
  <si>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</si>
  <si>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</si>
  <si>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</si>
  <si>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</si>
  <si>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</si>
  <si>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</si>
  <si>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</si>
  <si>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</si>
  <si>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</si>
  <si>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</si>
  <si>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</si>
  <si>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</si>
  <si>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</si>
  <si>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</si>
  <si>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</si>
  <si>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</si>
  <si>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</si>
  <si>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</si>
  <si>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</si>
  <si>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</si>
  <si>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</si>
  <si>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</si>
  <si>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</si>
  <si>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</si>
  <si>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</si>
  <si>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</si>
  <si>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</si>
  <si>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</si>
  <si>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</si>
  <si>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</si>
  <si>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</si>
  <si>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</si>
  <si>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</si>
  <si>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</si>
  <si>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</si>
  <si>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</si>
  <si>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</si>
  <si>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</si>
  <si>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</si>
  <si>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</si>
  <si>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</si>
  <si>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</si>
  <si>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</si>
  <si>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</si>
  <si>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</si>
  <si>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</si>
  <si>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</si>
  <si>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</si>
  <si>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</si>
  <si>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</si>
  <si>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</si>
  <si>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</si>
  <si>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</si>
  <si>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</si>
  <si>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</si>
  <si>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</si>
  <si>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</si>
  <si>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</si>
  <si>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</si>
  <si>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</si>
  <si>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</si>
  <si>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</si>
  <si>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</si>
  <si>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</si>
  <si>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</si>
  <si>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</si>
  <si>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</si>
  <si>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</si>
  <si>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</si>
  <si>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</si>
  <si>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</si>
  <si>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</si>
  <si>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</si>
  <si>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</si>
  <si>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</si>
  <si>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</si>
  <si>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</si>
  <si>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</si>
  <si>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</si>
  <si>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</si>
  <si>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</si>
  <si>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</si>
  <si>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</si>
  <si>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</si>
  <si>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</si>
  <si>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</si>
  <si>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</si>
  <si>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</si>
  <si>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</si>
  <si>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</si>
  <si>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</si>
  <si>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</si>
  <si>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</si>
  <si>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</si>
  <si>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</si>
  <si>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</si>
  <si>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</si>
  <si>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</si>
  <si>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</si>
  <si>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</si>
  <si>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</si>
  <si>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</si>
  <si>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</si>
  <si>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</si>
  <si>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</si>
  <si>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</si>
  <si>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</si>
  <si>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</si>
  <si>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</si>
  <si>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</si>
  <si>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</si>
  <si>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</si>
  <si>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</si>
  <si>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</si>
  <si>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</si>
  <si>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</si>
  <si>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</si>
  <si>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</si>
  <si>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</si>
  <si>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</si>
  <si>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</si>
  <si>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</si>
  <si>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</si>
  <si>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</si>
  <si>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</si>
  <si>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</si>
  <si>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</si>
  <si>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</si>
  <si>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</si>
  <si>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</si>
  <si>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</si>
  <si>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</si>
  <si>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</si>
  <si>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</si>
  <si>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</si>
  <si>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</si>
  <si>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</si>
  <si>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</si>
  <si>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</si>
  <si>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</si>
  <si>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</si>
  <si>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</si>
  <si>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</si>
  <si>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</si>
  <si>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</si>
  <si>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</si>
  <si>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</si>
  <si>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</si>
  <si>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</si>
  <si>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</si>
  <si>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</si>
  <si>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</si>
  <si>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</si>
  <si>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</si>
  <si>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</si>
  <si>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</si>
  <si>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</si>
  <si>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</si>
  <si>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</si>
  <si>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</si>
  <si>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</si>
  <si>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</si>
  <si>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</si>
  <si>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</si>
  <si>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</si>
  <si>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</si>
  <si>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</si>
  <si>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</si>
  <si>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</si>
  <si>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</si>
  <si>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</si>
  <si>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</si>
  <si>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</si>
  <si>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</si>
  <si>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</si>
  <si>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</si>
  <si>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</si>
  <si>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</si>
  <si>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</si>
  <si>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</si>
  <si>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</si>
  <si>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</si>
  <si>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</si>
  <si>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</si>
  <si>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</si>
  <si>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</si>
  <si>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</si>
  <si>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</si>
  <si>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</si>
  <si>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</si>
  <si>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</si>
  <si>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</si>
  <si>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</si>
  <si>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</si>
  <si>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</si>
  <si>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</si>
  <si>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</si>
  <si>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</si>
  <si>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</si>
  <si>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</si>
  <si>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</si>
  <si>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</si>
  <si>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</si>
  <si>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</si>
  <si>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</si>
  <si>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</si>
  <si>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</si>
  <si>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</si>
  <si>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</si>
  <si>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</si>
  <si>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</si>
  <si>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</si>
  <si>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</si>
  <si>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</si>
  <si>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</si>
  <si>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</si>
  <si>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</si>
  <si>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</si>
  <si>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</si>
  <si>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</si>
  <si>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</si>
  <si>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</si>
  <si>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</si>
  <si>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</si>
  <si>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</si>
  <si>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</si>
  <si>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</si>
  <si>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</si>
  <si>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</si>
  <si>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</si>
  <si>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</si>
  <si>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</si>
  <si>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</si>
  <si>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</si>
  <si>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</si>
  <si>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</si>
  <si>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</si>
  <si>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</si>
  <si>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</si>
  <si>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</si>
  <si>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</si>
  <si>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</si>
  <si>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</si>
  <si>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</si>
  <si>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</si>
  <si>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</si>
  <si>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</si>
  <si>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</si>
  <si>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</si>
  <si>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</si>
  <si>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</si>
  <si>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</si>
  <si>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</si>
  <si>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</si>
  <si>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</si>
  <si>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</si>
  <si>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</si>
  <si>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</si>
  <si>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</si>
  <si>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</si>
  <si>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</si>
  <si>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</si>
  <si>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</si>
  <si>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</si>
  <si>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</si>
  <si>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</si>
  <si>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</si>
  <si>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</si>
  <si>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</si>
  <si>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</si>
  <si>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</si>
  <si>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</si>
  <si>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</si>
  <si>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</si>
  <si>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</si>
  <si>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</si>
  <si>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</si>
  <si>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</si>
  <si>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</si>
  <si>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</si>
  <si>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</si>
  <si>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</si>
  <si>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</si>
  <si>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</si>
  <si>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</si>
  <si>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</si>
  <si>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</si>
  <si>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</si>
  <si>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</si>
  <si>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</si>
  <si>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</si>
  <si>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</si>
  <si>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</si>
  <si>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</si>
  <si>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</si>
  <si>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</si>
  <si>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</si>
  <si>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</si>
  <si>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</si>
  <si>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</si>
  <si>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</si>
  <si>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</si>
  <si>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</si>
  <si>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</si>
  <si>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</si>
  <si>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</si>
  <si>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</si>
  <si>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</si>
  <si>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</si>
  <si>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</si>
  <si>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</si>
  <si>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</si>
  <si>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</si>
  <si>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</si>
  <si>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</si>
  <si>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</si>
  <si>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</si>
  <si>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</si>
  <si>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</si>
  <si>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</si>
  <si>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</si>
  <si>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</si>
  <si>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</si>
  <si>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</si>
  <si>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</si>
  <si>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</si>
  <si>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</si>
  <si>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</si>
  <si>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</si>
  <si>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</si>
  <si>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</si>
  <si>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</si>
  <si>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</si>
  <si>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</si>
  <si>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</si>
  <si>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</si>
  <si>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</si>
  <si>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</si>
  <si>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</si>
  <si>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</si>
  <si>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</si>
  <si>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</si>
  <si>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</si>
  <si>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</si>
  <si>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</si>
  <si>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</si>
  <si>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</si>
  <si>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</si>
  <si>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</si>
  <si>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</si>
  <si>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</si>
  <si>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</si>
  <si>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</si>
  <si>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</si>
  <si>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</si>
  <si>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</si>
  <si>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</si>
  <si>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</si>
  <si>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</si>
  <si>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</si>
  <si>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</si>
  <si>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</si>
  <si>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</si>
  <si>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</si>
  <si>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</si>
  <si>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</si>
  <si>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</si>
  <si>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</si>
  <si>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</si>
  <si>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</si>
  <si>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</si>
  <si>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</si>
  <si>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</si>
  <si>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</si>
  <si>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</si>
  <si>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</si>
  <si>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</si>
  <si>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</si>
  <si>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</si>
  <si>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</si>
  <si>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</si>
  <si>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</si>
  <si>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</si>
  <si>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</si>
  <si>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</si>
  <si>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</si>
  <si>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</si>
  <si>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</si>
  <si>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</si>
  <si>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</si>
  <si>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</si>
  <si>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</si>
  <si>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</si>
  <si>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</si>
  <si>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</si>
  <si>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</si>
  <si>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</si>
  <si>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</si>
  <si>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</si>
  <si>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</si>
  <si>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</si>
  <si>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</si>
  <si>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</si>
  <si>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</si>
  <si>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</si>
  <si>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</si>
  <si>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</si>
  <si>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</si>
  <si>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</si>
  <si>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</si>
  <si>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</si>
  <si>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</si>
  <si>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</si>
  <si>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</si>
  <si>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</si>
  <si>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</si>
  <si>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</si>
  <si>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</si>
  <si>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</si>
  <si>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</si>
  <si>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</si>
  <si>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</si>
  <si>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</si>
  <si>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</si>
  <si>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</si>
  <si>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</si>
  <si>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</si>
  <si>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</si>
  <si>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</si>
  <si>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</si>
  <si>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</si>
  <si>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</si>
  <si>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</si>
  <si>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</si>
  <si>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</si>
  <si>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</si>
  <si>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</si>
  <si>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</si>
  <si>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</si>
  <si>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</si>
  <si>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</si>
  <si>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</si>
  <si>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</si>
  <si>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</si>
  <si>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</si>
  <si>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</si>
  <si>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</si>
  <si>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</si>
  <si>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</si>
  <si>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</si>
  <si>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</si>
  <si>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</si>
  <si>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</si>
  <si>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</si>
  <si>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</si>
  <si>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</si>
  <si>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</si>
  <si>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</si>
  <si>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</si>
  <si>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</si>
  <si>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</si>
  <si>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</si>
  <si>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</si>
  <si>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</si>
  <si>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</si>
  <si>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</si>
  <si>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</si>
  <si>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</si>
  <si>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</si>
  <si>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</si>
  <si>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</si>
  <si>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</si>
  <si>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</si>
  <si>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</si>
  <si>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</si>
  <si>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</si>
  <si>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</si>
  <si>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</si>
  <si>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</si>
  <si>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</si>
  <si>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</si>
  <si>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</si>
  <si>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</si>
  <si>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</si>
  <si>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</si>
  <si>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</si>
  <si>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</si>
  <si>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</si>
  <si>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</si>
  <si>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</si>
  <si>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</si>
  <si>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</si>
  <si>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</si>
  <si>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</si>
  <si>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</si>
  <si>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</si>
  <si>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</si>
  <si>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</si>
  <si>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</si>
  <si>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</si>
  <si>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</si>
  <si>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</si>
  <si>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</si>
  <si>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</si>
  <si>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</si>
  <si>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</si>
  <si>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</si>
  <si>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</si>
  <si>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</si>
  <si>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</si>
  <si>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</si>
  <si>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</si>
  <si>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</si>
  <si>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</si>
  <si>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</si>
  <si>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</si>
  <si>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</si>
  <si>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</si>
  <si>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</si>
  <si>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</si>
  <si>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</si>
  <si>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</si>
  <si>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</si>
  <si>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</si>
  <si>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</si>
  <si>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</si>
  <si>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</si>
  <si>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</si>
  <si>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</si>
  <si>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</si>
  <si>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</si>
  <si>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</si>
  <si>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</si>
  <si>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</si>
  <si>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</si>
  <si>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</si>
  <si>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</si>
  <si>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</si>
  <si>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</si>
  <si>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</si>
  <si>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</si>
  <si>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</si>
  <si>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</si>
  <si>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</si>
  <si>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</si>
  <si>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</si>
  <si>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</si>
  <si>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</si>
  <si>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</si>
  <si>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</si>
  <si>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</si>
  <si>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</si>
  <si>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</si>
  <si>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</si>
  <si>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</si>
  <si>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</si>
  <si>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</si>
  <si>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</si>
  <si>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</si>
  <si>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</si>
  <si>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</si>
  <si>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</si>
  <si>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</si>
  <si>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</si>
  <si>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</si>
  <si>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</si>
  <si>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</si>
  <si>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</si>
  <si>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</si>
  <si>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</si>
  <si>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</si>
  <si>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</si>
  <si>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</si>
  <si>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</si>
  <si>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</si>
  <si>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</si>
  <si>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</si>
  <si>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</si>
  <si>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</si>
  <si>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</si>
  <si>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</si>
  <si>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</si>
  <si>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</si>
  <si>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</si>
  <si>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</si>
  <si>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</si>
  <si>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</si>
  <si>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</si>
  <si>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</si>
  <si>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</si>
  <si>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</si>
  <si>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</si>
  <si>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</si>
  <si>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</si>
  <si>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</si>
  <si>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</si>
  <si>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</si>
  <si>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</si>
  <si>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</si>
  <si>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</si>
  <si>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</si>
  <si>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</si>
  <si>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</si>
  <si>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</si>
  <si>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</si>
  <si>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</si>
  <si>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</si>
  <si>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</si>
  <si>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</si>
  <si>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</si>
  <si>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</si>
  <si>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</si>
  <si>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</si>
  <si>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</si>
  <si>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</si>
  <si>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</si>
  <si>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</si>
  <si>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</si>
  <si>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</si>
  <si>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</si>
  <si>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</si>
  <si>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</si>
  <si>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</si>
  <si>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</si>
  <si>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</si>
  <si>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</si>
  <si>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</si>
  <si>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</si>
  <si>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</si>
  <si>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</si>
  <si>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</si>
  <si>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</si>
  <si>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</si>
  <si>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</si>
  <si>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</si>
  <si>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</si>
  <si>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</si>
  <si>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</si>
  <si>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</si>
  <si>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</si>
  <si>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</si>
  <si>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</si>
  <si>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</si>
  <si>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</si>
  <si>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</si>
  <si>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</si>
  <si>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</si>
  <si>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</si>
  <si>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</si>
  <si>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</si>
  <si>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</si>
  <si>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</si>
  <si>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</si>
  <si>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</si>
  <si>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</si>
  <si>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</si>
  <si>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</si>
  <si>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</si>
  <si>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</si>
  <si>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</si>
  <si>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</si>
  <si>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</si>
  <si>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</si>
  <si>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</si>
  <si>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</si>
  <si>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</si>
  <si>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</si>
  <si>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</si>
  <si>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</si>
  <si>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</si>
  <si>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</si>
  <si>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</si>
  <si>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</si>
  <si>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</si>
  <si>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</si>
  <si>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</si>
  <si>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</si>
  <si>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</si>
  <si>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</si>
  <si>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</si>
  <si>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</si>
  <si>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</si>
  <si>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</si>
  <si>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</si>
  <si>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</si>
  <si>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</si>
  <si>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</si>
  <si>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</si>
  <si>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</si>
  <si>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</si>
  <si>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</si>
  <si>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</si>
  <si>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</si>
  <si>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</si>
  <si>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</si>
  <si>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</si>
  <si>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</si>
  <si>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</si>
  <si>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</si>
  <si>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</si>
  <si>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</si>
  <si>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</si>
  <si>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</si>
  <si>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</si>
  <si>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</si>
  <si>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</si>
  <si>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</si>
  <si>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</si>
  <si>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</si>
  <si>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</si>
  <si>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</si>
  <si>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</si>
  <si>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</si>
  <si>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</si>
  <si>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اگر زاگرس 5320 یا شاراک 427 یا وبانک 282 بود بخر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</si>
  <si>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</si>
  <si>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</si>
  <si>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</si>
  <si>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</si>
  <si>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</si>
  <si>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</si>
  <si>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</si>
  <si>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</si>
  <si>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</si>
  <si>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</si>
  <si>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</si>
  <si>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</si>
  <si>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</si>
  <si>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</si>
  <si>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</si>
  <si>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</si>
  <si>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</si>
  <si>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</si>
  <si>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</si>
  <si>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</si>
  <si>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</si>
  <si>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</si>
  <si>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</si>
  <si>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</si>
  <si>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</si>
  <si>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</si>
  <si>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</si>
  <si>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بدهی به مهدی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</si>
  <si>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</si>
  <si>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</si>
  <si>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</si>
  <si>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</si>
  <si>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</si>
  <si>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</si>
  <si>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</si>
  <si>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</si>
  <si>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دستی به مریم 2/9</t>
  </si>
  <si>
    <t>30/9/1397</t>
  </si>
  <si>
    <t>سود آبان 97</t>
  </si>
  <si>
    <t>سهم علی از کگهر حساب علی 3/9</t>
  </si>
  <si>
    <t>سهم علی کگهر حساب مریم 3/9</t>
  </si>
  <si>
    <t>سهم علی کگهر حساب سارا 3/9</t>
  </si>
  <si>
    <t>3/9/1397</t>
  </si>
  <si>
    <t>وغدیر 9705 تا 184.6 که 2715 تا حساب مریم و 6990 حساب داریوش</t>
  </si>
  <si>
    <t>وغدیر 5664 تا 184.5 که در حساب داریوش فروش گذاشته ام</t>
  </si>
  <si>
    <t>وغدیر 7012 تا 192.2 که در حساب داریوش سفارش فروش گذاشته ام</t>
  </si>
  <si>
    <t>نوسانگیری 600 تا وتوسم حساب علی 3/9</t>
  </si>
  <si>
    <t>وغدیر 5661 تا 184.6 حساب سارا</t>
  </si>
  <si>
    <t>وغدیر سارا</t>
  </si>
  <si>
    <t>بدهی به سارا نقدی 4/9</t>
  </si>
  <si>
    <t>از ملت مریم به ملت علی 4/9</t>
  </si>
  <si>
    <t>بدهی به مهدی 4/9</t>
  </si>
  <si>
    <t>261307622 </t>
  </si>
  <si>
    <t>طلب از حسین اکبریان</t>
  </si>
  <si>
    <t>بدهی به داریوش 5/9</t>
  </si>
  <si>
    <t>5/9/1397</t>
  </si>
  <si>
    <t>شارژ حساب بورس علی و سارا</t>
  </si>
  <si>
    <t>از کارت سارا به بورس علی</t>
  </si>
  <si>
    <t>سهم علی از فروش شبصیر حساب علی 5/9</t>
  </si>
  <si>
    <t>سهم علی از فروش شبصیر حساب مریم 5/9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</si>
  <si>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</si>
  <si>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</si>
  <si>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</si>
  <si>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</si>
  <si>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</si>
  <si>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</si>
  <si>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وغدیر 17660 تا 173.4</t>
  </si>
  <si>
    <t>سهم علی فروش 4060 تا وتوسم حساب سارا 6/9</t>
  </si>
  <si>
    <t>سهم علی 460 تا شاراک حساب مریم 6/9</t>
  </si>
  <si>
    <t>سهم علی 418 تا شاراک 6/9</t>
  </si>
  <si>
    <t>سهم علی 3429 تا وتوسم 6/9</t>
  </si>
  <si>
    <t>6/9/1397</t>
  </si>
  <si>
    <t>6/91397</t>
  </si>
  <si>
    <t>10/9/1397</t>
  </si>
  <si>
    <t>7/9/1397</t>
  </si>
  <si>
    <t>زاگرس 390 تا 4861</t>
  </si>
  <si>
    <t>زاگرس 20 تا 6/9</t>
  </si>
  <si>
    <t>مریم 587000 به ملت علی</t>
  </si>
  <si>
    <t>از ملت علی به انصار مریم بابت قسط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</si>
</sst>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13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34" borderId="1" xfId="0" applyFill="1" applyBorder="1"/>
    <xf numFmtId="164" fontId="0" fillId="34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31" workbookViewId="0">
      <selection activeCell="G55" sqref="G55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4482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4495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3895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4508</v>
      </c>
      <c r="B4" s="18">
        <v>-2500000</v>
      </c>
      <c r="C4" s="18">
        <v>0</v>
      </c>
      <c r="D4" s="113">
        <f t="shared" si="0"/>
        <v>-2500000</v>
      </c>
      <c r="E4" s="99" t="s">
        <v>3773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4338</v>
      </c>
      <c r="B5" s="18">
        <v>0</v>
      </c>
      <c r="C5" s="18">
        <v>0</v>
      </c>
      <c r="D5" s="113">
        <f t="shared" si="0"/>
        <v>0</v>
      </c>
      <c r="E5" s="20" t="s">
        <v>4354</v>
      </c>
      <c r="F5" s="96">
        <v>23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4362</v>
      </c>
      <c r="B6" s="18">
        <v>0</v>
      </c>
      <c r="C6" s="18">
        <v>0</v>
      </c>
      <c r="D6" s="113">
        <f t="shared" si="0"/>
        <v>0</v>
      </c>
      <c r="E6" s="19" t="s">
        <v>4363</v>
      </c>
      <c r="F6" s="96">
        <v>21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4362</v>
      </c>
      <c r="B7" s="18">
        <v>0</v>
      </c>
      <c r="C7" s="18">
        <v>0</v>
      </c>
      <c r="D7" s="113">
        <f t="shared" si="0"/>
        <v>0</v>
      </c>
      <c r="E7" s="19" t="s">
        <v>4364</v>
      </c>
      <c r="F7" s="96">
        <v>21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4362</v>
      </c>
      <c r="B8" s="18">
        <v>0</v>
      </c>
      <c r="C8" s="18">
        <v>0</v>
      </c>
      <c r="D8" s="113">
        <f t="shared" si="0"/>
        <v>0</v>
      </c>
      <c r="E8" s="19" t="s">
        <v>4365</v>
      </c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4369</v>
      </c>
      <c r="B9" s="18">
        <v>0</v>
      </c>
      <c r="C9" s="18">
        <v>0</v>
      </c>
      <c r="D9" s="113">
        <f t="shared" si="0"/>
        <v>0</v>
      </c>
      <c r="E9" s="21" t="s">
        <v>4370</v>
      </c>
      <c r="F9" s="96">
        <v>22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4383</v>
      </c>
      <c r="B10" s="18">
        <v>0</v>
      </c>
      <c r="C10" s="18">
        <v>0</v>
      </c>
      <c r="D10" s="113">
        <f t="shared" si="0"/>
        <v>0</v>
      </c>
      <c r="E10" s="19" t="s">
        <v>3895</v>
      </c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4383</v>
      </c>
      <c r="B11" s="18">
        <v>0</v>
      </c>
      <c r="C11" s="18">
        <v>0</v>
      </c>
      <c r="D11" s="113">
        <f t="shared" si="0"/>
        <v>0</v>
      </c>
      <c r="E11" s="19" t="s">
        <v>4391</v>
      </c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4384</v>
      </c>
      <c r="B12" s="18">
        <v>0</v>
      </c>
      <c r="C12" s="18">
        <v>0</v>
      </c>
      <c r="D12" s="113">
        <f t="shared" si="0"/>
        <v>0</v>
      </c>
      <c r="E12" s="20" t="s">
        <v>4391</v>
      </c>
      <c r="F12" s="96">
        <v>16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4384</v>
      </c>
      <c r="B13" s="18">
        <v>0</v>
      </c>
      <c r="C13" s="18">
        <v>0</v>
      </c>
      <c r="D13" s="113">
        <f t="shared" si="0"/>
        <v>0</v>
      </c>
      <c r="E13" s="20" t="s">
        <v>4276</v>
      </c>
      <c r="F13" s="96">
        <v>16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4403</v>
      </c>
      <c r="B14" s="18">
        <v>0</v>
      </c>
      <c r="C14" s="18">
        <v>0</v>
      </c>
      <c r="D14" s="113">
        <f t="shared" si="0"/>
        <v>0</v>
      </c>
      <c r="E14" s="20" t="s">
        <v>4404</v>
      </c>
      <c r="F14" s="96">
        <v>15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4406</v>
      </c>
      <c r="B15" s="18">
        <v>0</v>
      </c>
      <c r="C15" s="18">
        <v>0</v>
      </c>
      <c r="D15" s="117">
        <f t="shared" si="0"/>
        <v>0</v>
      </c>
      <c r="E15" s="20" t="s">
        <v>4391</v>
      </c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4413</v>
      </c>
      <c r="B16" s="18">
        <v>0</v>
      </c>
      <c r="C16" s="18">
        <v>0</v>
      </c>
      <c r="D16" s="113">
        <f t="shared" si="0"/>
        <v>0</v>
      </c>
      <c r="E16" s="20" t="s">
        <v>4162</v>
      </c>
      <c r="F16" s="96">
        <v>12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4432</v>
      </c>
      <c r="B17" s="18">
        <v>0</v>
      </c>
      <c r="C17" s="18">
        <v>0</v>
      </c>
      <c r="D17" s="113">
        <f t="shared" si="0"/>
        <v>0</v>
      </c>
      <c r="E17" s="20" t="s">
        <v>3895</v>
      </c>
      <c r="F17" s="96">
        <v>7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4443</v>
      </c>
      <c r="B18" s="18">
        <v>0</v>
      </c>
      <c r="C18" s="18">
        <v>0</v>
      </c>
      <c r="D18" s="113">
        <f t="shared" si="0"/>
        <v>0</v>
      </c>
      <c r="E18" s="20" t="s">
        <v>4442</v>
      </c>
      <c r="F18" s="96">
        <v>5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4443</v>
      </c>
      <c r="B19" s="18">
        <v>0</v>
      </c>
      <c r="C19" s="18">
        <v>0</v>
      </c>
      <c r="D19" s="113">
        <f t="shared" si="0"/>
        <v>0</v>
      </c>
      <c r="E19" s="20" t="s">
        <v>4276</v>
      </c>
      <c r="F19" s="96">
        <v>5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4443</v>
      </c>
      <c r="B20" s="18">
        <v>0</v>
      </c>
      <c r="C20" s="18">
        <v>0</v>
      </c>
      <c r="D20" s="113">
        <f t="shared" si="0"/>
        <v>0</v>
      </c>
      <c r="E20" s="19" t="s">
        <v>3773</v>
      </c>
      <c r="F20" s="96">
        <v>5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4439</v>
      </c>
      <c r="B21" s="18">
        <v>0</v>
      </c>
      <c r="C21" s="18">
        <v>0</v>
      </c>
      <c r="D21" s="113">
        <f t="shared" si="0"/>
        <v>0</v>
      </c>
      <c r="E21" s="19" t="s">
        <v>4440</v>
      </c>
      <c r="F21" s="96">
        <v>6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2982820</v>
      </c>
      <c r="H28" s="18">
        <f>SUM(H2:H26)</f>
        <v>241028580</v>
      </c>
      <c r="I28" s="18">
        <f>SUM(I2:I26)</f>
        <v>-238045760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-54623926</v>
      </c>
      <c r="E33" s="41" t="s">
        <v>95</v>
      </c>
      <c r="F33" s="96"/>
      <c r="G33" s="18">
        <v>600</v>
      </c>
      <c r="H33" s="18">
        <f>G33*H28/G28</f>
        <v>48483.364064878202</v>
      </c>
      <c r="I33" s="18">
        <f>G33*I28/G28</f>
        <v>-47883.364064878202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114">
        <v>-50000</v>
      </c>
      <c r="E34" s="54" t="s">
        <v>4489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-373979</v>
      </c>
      <c r="E35" s="54" t="s">
        <v>4492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-186988</v>
      </c>
      <c r="E36" s="54" t="s">
        <v>4493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-93494</v>
      </c>
      <c r="E37" s="54" t="s">
        <v>4494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-880</v>
      </c>
      <c r="E38" s="54" t="s">
        <v>4499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-2500000</v>
      </c>
      <c r="E39" s="54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4503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-8250000</v>
      </c>
      <c r="E41" s="54" t="s">
        <v>4509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2500000</v>
      </c>
      <c r="E42" s="54" t="s">
        <v>4510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-41442</v>
      </c>
      <c r="E43" s="54" t="s">
        <v>4511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-20556</v>
      </c>
      <c r="E44" s="54" t="s">
        <v>4512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ht="30">
      <c r="A45" s="96"/>
      <c r="B45" s="96"/>
      <c r="C45" s="96"/>
      <c r="D45" s="114">
        <v>-5637</v>
      </c>
      <c r="E45" s="54" t="s">
        <v>4520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-5550</v>
      </c>
      <c r="E46" s="54" t="s">
        <v>4521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-5138</v>
      </c>
      <c r="E47" s="54" t="s">
        <v>4522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-1982</v>
      </c>
      <c r="E48" s="54" t="s">
        <v>4523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-243</v>
      </c>
      <c r="E49" s="54" t="s">
        <v>4529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587000</v>
      </c>
      <c r="E50" s="54" t="s">
        <v>4530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-437000</v>
      </c>
      <c r="E51" s="54" t="s">
        <v>4531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/>
      <c r="E52" s="54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/>
      <c r="E53" s="54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 t="s">
        <v>25</v>
      </c>
      <c r="E54" s="54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54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f>SUM(D33:D55)</f>
        <v>-61509815</v>
      </c>
      <c r="E56" s="96" t="s">
        <v>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/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 t="s">
        <v>25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4" sqref="F24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961</v>
      </c>
      <c r="H2" s="36">
        <f>IF(B2&gt;0,1,0)</f>
        <v>1</v>
      </c>
      <c r="I2" s="11">
        <f>B2*(G2-H2)</f>
        <v>16032000</v>
      </c>
      <c r="J2" s="53">
        <f>C2*(G2-H2)</f>
        <v>16032000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960</v>
      </c>
      <c r="H3" s="36">
        <f t="shared" ref="H3:H66" si="2">IF(B3&gt;0,1,0)</f>
        <v>1</v>
      </c>
      <c r="I3" s="11">
        <f t="shared" ref="I3:I66" si="3">B3*(G3-H3)</f>
        <v>19084100000</v>
      </c>
      <c r="J3" s="53">
        <f t="shared" ref="J3:J66" si="4">C3*(G3-H3)</f>
        <v>10920133000</v>
      </c>
      <c r="K3" s="53">
        <f t="shared" ref="K3:K66" si="5">D3*(G3-H3)</f>
        <v>8163967000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960</v>
      </c>
      <c r="H4" s="36">
        <f t="shared" si="2"/>
        <v>0</v>
      </c>
      <c r="I4" s="11">
        <f t="shared" si="3"/>
        <v>0</v>
      </c>
      <c r="J4" s="53">
        <f t="shared" si="4"/>
        <v>8160000</v>
      </c>
      <c r="K4" s="53">
        <f t="shared" si="5"/>
        <v>-8160000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958</v>
      </c>
      <c r="H5" s="36">
        <f t="shared" si="2"/>
        <v>1</v>
      </c>
      <c r="I5" s="11">
        <f t="shared" si="3"/>
        <v>1914000000</v>
      </c>
      <c r="J5" s="53">
        <f t="shared" si="4"/>
        <v>0</v>
      </c>
      <c r="K5" s="53">
        <f t="shared" si="5"/>
        <v>1914000000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951</v>
      </c>
      <c r="H6" s="36">
        <f t="shared" si="2"/>
        <v>0</v>
      </c>
      <c r="I6" s="11">
        <f t="shared" si="3"/>
        <v>-4755000</v>
      </c>
      <c r="J6" s="53">
        <f t="shared" si="4"/>
        <v>0</v>
      </c>
      <c r="K6" s="53">
        <f t="shared" si="5"/>
        <v>-4755000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947</v>
      </c>
      <c r="H7" s="36">
        <f t="shared" si="2"/>
        <v>0</v>
      </c>
      <c r="I7" s="11">
        <f t="shared" si="3"/>
        <v>-1136873500</v>
      </c>
      <c r="J7" s="53">
        <f t="shared" si="4"/>
        <v>0</v>
      </c>
      <c r="K7" s="53">
        <f t="shared" si="5"/>
        <v>-1136873500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946</v>
      </c>
      <c r="H8" s="36">
        <f t="shared" si="2"/>
        <v>0</v>
      </c>
      <c r="I8" s="11">
        <f t="shared" si="3"/>
        <v>-189200000</v>
      </c>
      <c r="J8" s="53">
        <f t="shared" si="4"/>
        <v>0</v>
      </c>
      <c r="K8" s="53">
        <f t="shared" si="5"/>
        <v>-189200000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944</v>
      </c>
      <c r="H9" s="36">
        <f t="shared" si="2"/>
        <v>0</v>
      </c>
      <c r="I9" s="11">
        <f t="shared" si="3"/>
        <v>-665992000</v>
      </c>
      <c r="J9" s="53">
        <f t="shared" si="4"/>
        <v>0</v>
      </c>
      <c r="K9" s="53">
        <f t="shared" si="5"/>
        <v>-665992000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935</v>
      </c>
      <c r="H10" s="36">
        <f t="shared" si="2"/>
        <v>0</v>
      </c>
      <c r="I10" s="11">
        <f t="shared" si="3"/>
        <v>-187000000</v>
      </c>
      <c r="J10" s="53">
        <f t="shared" si="4"/>
        <v>0</v>
      </c>
      <c r="K10" s="53">
        <f t="shared" si="5"/>
        <v>-187000000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935</v>
      </c>
      <c r="H11" s="36">
        <f t="shared" si="2"/>
        <v>1</v>
      </c>
      <c r="I11" s="11">
        <f t="shared" si="3"/>
        <v>934000000</v>
      </c>
      <c r="J11" s="53">
        <f t="shared" si="4"/>
        <v>0</v>
      </c>
      <c r="K11" s="53">
        <f t="shared" si="5"/>
        <v>934000000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931</v>
      </c>
      <c r="H12" s="36">
        <f t="shared" si="2"/>
        <v>0</v>
      </c>
      <c r="I12" s="11">
        <f t="shared" si="3"/>
        <v>-279300000</v>
      </c>
      <c r="J12" s="53">
        <f t="shared" si="4"/>
        <v>0</v>
      </c>
      <c r="K12" s="53">
        <f t="shared" si="5"/>
        <v>-279300000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926</v>
      </c>
      <c r="H13" s="36">
        <f t="shared" si="2"/>
        <v>0</v>
      </c>
      <c r="I13" s="11">
        <f t="shared" si="3"/>
        <v>-57412000</v>
      </c>
      <c r="J13" s="53">
        <f t="shared" si="4"/>
        <v>0</v>
      </c>
      <c r="K13" s="53">
        <f t="shared" si="5"/>
        <v>-57412000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926</v>
      </c>
      <c r="H14" s="36">
        <f t="shared" si="2"/>
        <v>1</v>
      </c>
      <c r="I14" s="11">
        <f t="shared" si="3"/>
        <v>1850000000</v>
      </c>
      <c r="J14" s="53">
        <f t="shared" si="4"/>
        <v>0</v>
      </c>
      <c r="K14" s="53">
        <f t="shared" si="5"/>
        <v>1850000000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925</v>
      </c>
      <c r="H15" s="36">
        <f t="shared" si="2"/>
        <v>1</v>
      </c>
      <c r="I15" s="11">
        <f t="shared" si="3"/>
        <v>1663200000</v>
      </c>
      <c r="J15" s="53">
        <f t="shared" si="4"/>
        <v>0</v>
      </c>
      <c r="K15" s="53">
        <f t="shared" si="5"/>
        <v>1663200000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925</v>
      </c>
      <c r="H16" s="36">
        <f t="shared" si="2"/>
        <v>0</v>
      </c>
      <c r="I16" s="11">
        <f t="shared" si="3"/>
        <v>-185000000</v>
      </c>
      <c r="J16" s="53">
        <f t="shared" si="4"/>
        <v>0</v>
      </c>
      <c r="K16" s="53">
        <f t="shared" si="5"/>
        <v>-185000000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921</v>
      </c>
      <c r="H17" s="36">
        <f t="shared" si="2"/>
        <v>0</v>
      </c>
      <c r="I17" s="11">
        <f t="shared" si="3"/>
        <v>-1842000000</v>
      </c>
      <c r="J17" s="53">
        <f t="shared" si="4"/>
        <v>0</v>
      </c>
      <c r="K17" s="53">
        <f t="shared" si="5"/>
        <v>-1842000000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920</v>
      </c>
      <c r="H18" s="36">
        <f t="shared" si="2"/>
        <v>0</v>
      </c>
      <c r="I18" s="11">
        <f t="shared" si="3"/>
        <v>-276000000</v>
      </c>
      <c r="J18" s="53">
        <f t="shared" si="4"/>
        <v>0</v>
      </c>
      <c r="K18" s="53">
        <f t="shared" si="5"/>
        <v>-276000000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919</v>
      </c>
      <c r="H19" s="36">
        <f t="shared" si="2"/>
        <v>0</v>
      </c>
      <c r="I19" s="11">
        <f t="shared" si="3"/>
        <v>-183800000</v>
      </c>
      <c r="J19" s="53">
        <f t="shared" si="4"/>
        <v>0</v>
      </c>
      <c r="K19" s="53">
        <f t="shared" si="5"/>
        <v>-183800000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917</v>
      </c>
      <c r="H20" s="36">
        <f t="shared" si="2"/>
        <v>1</v>
      </c>
      <c r="I20" s="11">
        <f t="shared" si="3"/>
        <v>248317524</v>
      </c>
      <c r="J20" s="53">
        <f t="shared" si="4"/>
        <v>135066032</v>
      </c>
      <c r="K20" s="53">
        <f t="shared" si="5"/>
        <v>113251492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915</v>
      </c>
      <c r="H21" s="36">
        <f t="shared" si="2"/>
        <v>0</v>
      </c>
      <c r="I21" s="11">
        <f t="shared" si="3"/>
        <v>-1377715500</v>
      </c>
      <c r="J21" s="53">
        <f t="shared" si="4"/>
        <v>0</v>
      </c>
      <c r="K21" s="53">
        <f t="shared" si="5"/>
        <v>-1377715500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912</v>
      </c>
      <c r="H22" s="36">
        <f t="shared" si="2"/>
        <v>1</v>
      </c>
      <c r="I22" s="11">
        <f t="shared" si="3"/>
        <v>2733000000</v>
      </c>
      <c r="J22" s="53">
        <f t="shared" si="4"/>
        <v>0</v>
      </c>
      <c r="K22" s="53">
        <f t="shared" si="5"/>
        <v>2733000000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911</v>
      </c>
      <c r="H23" s="36">
        <f t="shared" si="2"/>
        <v>1</v>
      </c>
      <c r="I23" s="11">
        <f t="shared" si="3"/>
        <v>910000000</v>
      </c>
      <c r="J23" s="53">
        <f t="shared" si="4"/>
        <v>0</v>
      </c>
      <c r="K23" s="53">
        <f t="shared" si="5"/>
        <v>910000000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910</v>
      </c>
      <c r="H24" s="36">
        <f t="shared" si="2"/>
        <v>0</v>
      </c>
      <c r="I24" s="11">
        <f t="shared" si="3"/>
        <v>-2730819000</v>
      </c>
      <c r="J24" s="53">
        <f t="shared" si="4"/>
        <v>0</v>
      </c>
      <c r="K24" s="53">
        <f t="shared" si="5"/>
        <v>-2730819000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895</v>
      </c>
      <c r="H25" s="36">
        <f t="shared" si="2"/>
        <v>1</v>
      </c>
      <c r="I25" s="11">
        <f t="shared" si="3"/>
        <v>1341000000</v>
      </c>
      <c r="J25" s="53">
        <f t="shared" si="4"/>
        <v>0</v>
      </c>
      <c r="K25" s="53">
        <f t="shared" si="5"/>
        <v>1341000000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887</v>
      </c>
      <c r="H26" s="36">
        <f t="shared" si="2"/>
        <v>0</v>
      </c>
      <c r="I26" s="11">
        <f t="shared" si="3"/>
        <v>-145468000</v>
      </c>
      <c r="J26" s="53">
        <f t="shared" si="4"/>
        <v>0</v>
      </c>
      <c r="K26" s="53">
        <f t="shared" si="5"/>
        <v>-145468000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886</v>
      </c>
      <c r="H27" s="36">
        <f t="shared" si="2"/>
        <v>1</v>
      </c>
      <c r="I27" s="11">
        <f t="shared" si="3"/>
        <v>176462805</v>
      </c>
      <c r="J27" s="53">
        <f t="shared" si="4"/>
        <v>95060505</v>
      </c>
      <c r="K27" s="53">
        <f t="shared" si="5"/>
        <v>81402300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884</v>
      </c>
      <c r="H28" s="36">
        <f t="shared" si="2"/>
        <v>0</v>
      </c>
      <c r="I28" s="11">
        <f t="shared" si="3"/>
        <v>-195364000</v>
      </c>
      <c r="J28" s="53">
        <f t="shared" si="4"/>
        <v>-195364000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884</v>
      </c>
      <c r="H29" s="36">
        <f t="shared" si="2"/>
        <v>0</v>
      </c>
      <c r="I29" s="11">
        <f t="shared" si="3"/>
        <v>-442442000</v>
      </c>
      <c r="J29" s="53">
        <f t="shared" si="4"/>
        <v>0</v>
      </c>
      <c r="K29" s="53">
        <f t="shared" si="5"/>
        <v>-442442000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884</v>
      </c>
      <c r="H30" s="36">
        <f t="shared" si="2"/>
        <v>0</v>
      </c>
      <c r="I30" s="11">
        <f t="shared" si="3"/>
        <v>-13260000000</v>
      </c>
      <c r="J30" s="53">
        <f t="shared" si="4"/>
        <v>-13260000000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867</v>
      </c>
      <c r="H31" s="36">
        <f t="shared" si="2"/>
        <v>0</v>
      </c>
      <c r="I31" s="11">
        <f t="shared" si="3"/>
        <v>-2610450300</v>
      </c>
      <c r="J31" s="53">
        <f t="shared" si="4"/>
        <v>0</v>
      </c>
      <c r="K31" s="53">
        <f t="shared" si="5"/>
        <v>-2610450300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865</v>
      </c>
      <c r="H32" s="36">
        <f t="shared" si="2"/>
        <v>0</v>
      </c>
      <c r="I32" s="11">
        <f t="shared" si="3"/>
        <v>-2600103500</v>
      </c>
      <c r="J32" s="53">
        <f t="shared" si="4"/>
        <v>0</v>
      </c>
      <c r="K32" s="53">
        <f t="shared" si="5"/>
        <v>-2600103500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864</v>
      </c>
      <c r="H33" s="36">
        <f t="shared" si="2"/>
        <v>0</v>
      </c>
      <c r="I33" s="11">
        <f t="shared" si="3"/>
        <v>-773712000</v>
      </c>
      <c r="J33" s="53">
        <f t="shared" si="4"/>
        <v>0</v>
      </c>
      <c r="K33" s="53">
        <f t="shared" si="5"/>
        <v>-773712000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864</v>
      </c>
      <c r="H34" s="36">
        <f t="shared" si="2"/>
        <v>0</v>
      </c>
      <c r="I34" s="11">
        <f t="shared" si="3"/>
        <v>0</v>
      </c>
      <c r="J34" s="53">
        <f t="shared" si="4"/>
        <v>864000000</v>
      </c>
      <c r="K34" s="53">
        <f t="shared" si="5"/>
        <v>-864000000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855</v>
      </c>
      <c r="H35" s="36">
        <f t="shared" si="2"/>
        <v>1</v>
      </c>
      <c r="I35" s="11">
        <f t="shared" si="3"/>
        <v>44811088</v>
      </c>
      <c r="J35" s="53">
        <f t="shared" si="4"/>
        <v>-18500202</v>
      </c>
      <c r="K35" s="53">
        <f t="shared" si="5"/>
        <v>63311290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855</v>
      </c>
      <c r="H36" s="36">
        <f t="shared" si="2"/>
        <v>0</v>
      </c>
      <c r="I36" s="11">
        <f t="shared" si="3"/>
        <v>0</v>
      </c>
      <c r="J36" s="53">
        <f t="shared" si="4"/>
        <v>18521865</v>
      </c>
      <c r="K36" s="53">
        <f t="shared" si="5"/>
        <v>-18521865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845</v>
      </c>
      <c r="H37" s="36">
        <f t="shared" si="2"/>
        <v>0</v>
      </c>
      <c r="I37" s="11">
        <f t="shared" si="3"/>
        <v>-46475000</v>
      </c>
      <c r="J37" s="53">
        <f t="shared" si="4"/>
        <v>0</v>
      </c>
      <c r="K37" s="53">
        <f t="shared" si="5"/>
        <v>-46475000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844</v>
      </c>
      <c r="H38" s="36">
        <f t="shared" si="2"/>
        <v>1</v>
      </c>
      <c r="I38" s="11">
        <f t="shared" si="3"/>
        <v>2529000000</v>
      </c>
      <c r="J38" s="53">
        <f t="shared" si="4"/>
        <v>2529000000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843</v>
      </c>
      <c r="H39" s="36">
        <f t="shared" si="2"/>
        <v>1</v>
      </c>
      <c r="I39" s="11">
        <f t="shared" si="3"/>
        <v>2105000000</v>
      </c>
      <c r="J39" s="53">
        <f t="shared" si="4"/>
        <v>2105000000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843</v>
      </c>
      <c r="H40" s="36">
        <f t="shared" si="2"/>
        <v>0</v>
      </c>
      <c r="I40" s="11">
        <f t="shared" si="3"/>
        <v>-42150000</v>
      </c>
      <c r="J40" s="53">
        <f t="shared" si="4"/>
        <v>0</v>
      </c>
      <c r="K40" s="53">
        <f t="shared" si="5"/>
        <v>-42150000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843</v>
      </c>
      <c r="H41" s="36">
        <f t="shared" si="2"/>
        <v>1</v>
      </c>
      <c r="I41" s="11">
        <f t="shared" si="3"/>
        <v>2526000000</v>
      </c>
      <c r="J41" s="53">
        <f t="shared" si="4"/>
        <v>0</v>
      </c>
      <c r="K41" s="53">
        <f t="shared" si="5"/>
        <v>2526000000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840</v>
      </c>
      <c r="H42" s="36">
        <f t="shared" si="2"/>
        <v>0</v>
      </c>
      <c r="I42" s="11">
        <f t="shared" si="3"/>
        <v>-74928000</v>
      </c>
      <c r="J42" s="53">
        <f t="shared" si="4"/>
        <v>0</v>
      </c>
      <c r="K42" s="53">
        <f t="shared" si="5"/>
        <v>-74928000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836</v>
      </c>
      <c r="H43" s="36">
        <f t="shared" si="2"/>
        <v>0</v>
      </c>
      <c r="I43" s="11">
        <f t="shared" si="3"/>
        <v>-167200000</v>
      </c>
      <c r="J43" s="53">
        <f t="shared" si="4"/>
        <v>0</v>
      </c>
      <c r="K43" s="53">
        <f t="shared" si="5"/>
        <v>-167200000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834</v>
      </c>
      <c r="H44" s="36">
        <f t="shared" si="2"/>
        <v>0</v>
      </c>
      <c r="I44" s="11">
        <f t="shared" si="3"/>
        <v>-166800000</v>
      </c>
      <c r="J44" s="53">
        <f t="shared" si="4"/>
        <v>0</v>
      </c>
      <c r="K44" s="53">
        <f t="shared" si="5"/>
        <v>-166800000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834</v>
      </c>
      <c r="H45" s="36">
        <f t="shared" si="2"/>
        <v>0</v>
      </c>
      <c r="I45" s="11">
        <f t="shared" si="3"/>
        <v>-467040000</v>
      </c>
      <c r="J45" s="53">
        <f t="shared" si="4"/>
        <v>0</v>
      </c>
      <c r="K45" s="53">
        <f t="shared" si="5"/>
        <v>-467040000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830</v>
      </c>
      <c r="H46" s="36">
        <f t="shared" si="2"/>
        <v>0</v>
      </c>
      <c r="I46" s="11">
        <f t="shared" si="3"/>
        <v>-585565000</v>
      </c>
      <c r="J46" s="53">
        <f t="shared" si="4"/>
        <v>0</v>
      </c>
      <c r="K46" s="53">
        <f t="shared" si="5"/>
        <v>-585565000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824</v>
      </c>
      <c r="H47" s="36">
        <f t="shared" si="2"/>
        <v>1</v>
      </c>
      <c r="I47" s="11">
        <f t="shared" si="3"/>
        <v>33910892</v>
      </c>
      <c r="J47" s="53">
        <f t="shared" si="4"/>
        <v>5524799</v>
      </c>
      <c r="K47" s="53">
        <f t="shared" si="5"/>
        <v>28386093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824</v>
      </c>
      <c r="H48" s="36">
        <f t="shared" si="2"/>
        <v>1</v>
      </c>
      <c r="I48" s="11">
        <f t="shared" si="3"/>
        <v>1402968100</v>
      </c>
      <c r="J48" s="53">
        <f t="shared" si="4"/>
        <v>0</v>
      </c>
      <c r="K48" s="53">
        <f t="shared" si="5"/>
        <v>1402968100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815</v>
      </c>
      <c r="H49" s="36">
        <f t="shared" si="2"/>
        <v>0</v>
      </c>
      <c r="I49" s="11">
        <f t="shared" si="3"/>
        <v>-126325000</v>
      </c>
      <c r="J49" s="53">
        <f t="shared" si="4"/>
        <v>0</v>
      </c>
      <c r="K49" s="53">
        <f t="shared" si="5"/>
        <v>-126325000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815</v>
      </c>
      <c r="H50" s="36">
        <f t="shared" si="2"/>
        <v>0</v>
      </c>
      <c r="I50" s="11">
        <f t="shared" si="3"/>
        <v>-112470000</v>
      </c>
      <c r="J50" s="53">
        <f t="shared" si="4"/>
        <v>0</v>
      </c>
      <c r="K50" s="53">
        <f t="shared" si="5"/>
        <v>-112470000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815</v>
      </c>
      <c r="H51" s="36">
        <f t="shared" si="2"/>
        <v>0</v>
      </c>
      <c r="I51" s="11">
        <f t="shared" si="3"/>
        <v>-603100000</v>
      </c>
      <c r="J51" s="53">
        <f t="shared" si="4"/>
        <v>0</v>
      </c>
      <c r="K51" s="53">
        <f t="shared" si="5"/>
        <v>-603100000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815</v>
      </c>
      <c r="H52" s="36">
        <f t="shared" si="2"/>
        <v>0</v>
      </c>
      <c r="I52" s="11">
        <f t="shared" si="3"/>
        <v>-163000000</v>
      </c>
      <c r="J52" s="53">
        <f t="shared" si="4"/>
        <v>0</v>
      </c>
      <c r="K52" s="53">
        <f t="shared" si="5"/>
        <v>-163000000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814</v>
      </c>
      <c r="H53" s="36">
        <f t="shared" si="2"/>
        <v>0</v>
      </c>
      <c r="I53" s="11">
        <f t="shared" si="3"/>
        <v>-858770000</v>
      </c>
      <c r="J53" s="53">
        <f t="shared" si="4"/>
        <v>0</v>
      </c>
      <c r="K53" s="53">
        <f t="shared" si="5"/>
        <v>-858770000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814</v>
      </c>
      <c r="H54" s="36">
        <f t="shared" si="2"/>
        <v>0</v>
      </c>
      <c r="I54" s="11">
        <f t="shared" si="3"/>
        <v>-162800000</v>
      </c>
      <c r="J54" s="53">
        <f t="shared" si="4"/>
        <v>0</v>
      </c>
      <c r="K54" s="53">
        <f t="shared" si="5"/>
        <v>-162800000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814</v>
      </c>
      <c r="H55" s="36">
        <f t="shared" si="2"/>
        <v>0</v>
      </c>
      <c r="I55" s="11">
        <f t="shared" si="3"/>
        <v>-814407000</v>
      </c>
      <c r="J55" s="53">
        <f t="shared" si="4"/>
        <v>0</v>
      </c>
      <c r="K55" s="53">
        <f t="shared" si="5"/>
        <v>-814407000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814</v>
      </c>
      <c r="H56" s="36">
        <f t="shared" si="2"/>
        <v>0</v>
      </c>
      <c r="I56" s="11">
        <f t="shared" si="3"/>
        <v>-30932000</v>
      </c>
      <c r="J56" s="53">
        <f t="shared" si="4"/>
        <v>0</v>
      </c>
      <c r="K56" s="53">
        <f t="shared" si="5"/>
        <v>-30932000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814</v>
      </c>
      <c r="H57" s="36">
        <f t="shared" si="2"/>
        <v>0</v>
      </c>
      <c r="I57" s="11">
        <f t="shared" si="3"/>
        <v>-85470000</v>
      </c>
      <c r="J57" s="53">
        <f t="shared" si="4"/>
        <v>0</v>
      </c>
      <c r="K57" s="53">
        <f t="shared" si="5"/>
        <v>-85470000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814</v>
      </c>
      <c r="H58" s="36">
        <f t="shared" si="2"/>
        <v>0</v>
      </c>
      <c r="I58" s="11">
        <f t="shared" si="3"/>
        <v>-48840000</v>
      </c>
      <c r="J58" s="53">
        <f t="shared" si="4"/>
        <v>0</v>
      </c>
      <c r="K58" s="53">
        <f t="shared" si="5"/>
        <v>-48840000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811</v>
      </c>
      <c r="H59" s="36">
        <f t="shared" si="2"/>
        <v>1</v>
      </c>
      <c r="I59" s="11">
        <f t="shared" si="3"/>
        <v>810000000</v>
      </c>
      <c r="J59" s="53">
        <f t="shared" si="4"/>
        <v>810000000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810</v>
      </c>
      <c r="H60" s="36">
        <f t="shared" si="2"/>
        <v>1</v>
      </c>
      <c r="I60" s="11">
        <f t="shared" si="3"/>
        <v>2831500000</v>
      </c>
      <c r="J60" s="53">
        <f t="shared" si="4"/>
        <v>2831500000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808</v>
      </c>
      <c r="H61" s="36">
        <f t="shared" si="2"/>
        <v>1</v>
      </c>
      <c r="I61" s="11">
        <f t="shared" si="3"/>
        <v>807000000</v>
      </c>
      <c r="J61" s="53">
        <f t="shared" si="4"/>
        <v>807000000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808</v>
      </c>
      <c r="H62" s="36">
        <f t="shared" si="2"/>
        <v>1</v>
      </c>
      <c r="I62" s="11">
        <f t="shared" si="3"/>
        <v>2421000000</v>
      </c>
      <c r="J62" s="53">
        <f t="shared" si="4"/>
        <v>2421000000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806</v>
      </c>
      <c r="H63" s="36">
        <f t="shared" si="2"/>
        <v>0</v>
      </c>
      <c r="I63" s="11">
        <f t="shared" si="3"/>
        <v>-161200000</v>
      </c>
      <c r="J63" s="53">
        <f t="shared" si="4"/>
        <v>0</v>
      </c>
      <c r="K63" s="53">
        <f t="shared" si="5"/>
        <v>-161200000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801</v>
      </c>
      <c r="H64" s="36">
        <f t="shared" si="2"/>
        <v>0</v>
      </c>
      <c r="I64" s="11">
        <f t="shared" si="3"/>
        <v>-40050000</v>
      </c>
      <c r="J64" s="53">
        <f t="shared" si="4"/>
        <v>0</v>
      </c>
      <c r="K64" s="53">
        <f t="shared" si="5"/>
        <v>-40050000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797</v>
      </c>
      <c r="H65" s="36">
        <f t="shared" si="2"/>
        <v>0</v>
      </c>
      <c r="I65" s="11">
        <f t="shared" si="3"/>
        <v>-159400000</v>
      </c>
      <c r="J65" s="53">
        <f t="shared" si="4"/>
        <v>0</v>
      </c>
      <c r="K65" s="53">
        <f t="shared" si="5"/>
        <v>-159400000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794</v>
      </c>
      <c r="H66" s="36">
        <f t="shared" si="2"/>
        <v>0</v>
      </c>
      <c r="I66" s="11">
        <f t="shared" si="3"/>
        <v>-134980000</v>
      </c>
      <c r="J66" s="53">
        <f t="shared" si="4"/>
        <v>0</v>
      </c>
      <c r="K66" s="53">
        <f t="shared" si="5"/>
        <v>-134980000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793</v>
      </c>
      <c r="H67" s="36">
        <f t="shared" ref="H67:H131" si="8">IF(B67&gt;0,1,0)</f>
        <v>1</v>
      </c>
      <c r="I67" s="11">
        <f t="shared" ref="I67:I119" si="9">B67*(G67-H67)</f>
        <v>72329400</v>
      </c>
      <c r="J67" s="53">
        <f t="shared" ref="J67:J131" si="10">C67*(G67-H67)</f>
        <v>52052616</v>
      </c>
      <c r="K67" s="53">
        <f t="shared" ref="K67:K131" si="11">D67*(G67-H67)</f>
        <v>20276784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775</v>
      </c>
      <c r="H68" s="36">
        <f t="shared" si="8"/>
        <v>0</v>
      </c>
      <c r="I68" s="11">
        <f t="shared" si="9"/>
        <v>-112375000</v>
      </c>
      <c r="J68" s="53">
        <f t="shared" si="10"/>
        <v>0</v>
      </c>
      <c r="K68" s="53">
        <f t="shared" si="11"/>
        <v>-112375000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768</v>
      </c>
      <c r="H69" s="36">
        <f t="shared" si="8"/>
        <v>1</v>
      </c>
      <c r="I69" s="11">
        <f t="shared" si="9"/>
        <v>751660000</v>
      </c>
      <c r="J69" s="53">
        <f t="shared" si="10"/>
        <v>0</v>
      </c>
      <c r="K69" s="53">
        <f t="shared" si="11"/>
        <v>751660000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765</v>
      </c>
      <c r="H70" s="36">
        <f t="shared" si="8"/>
        <v>0</v>
      </c>
      <c r="I70" s="11">
        <f t="shared" si="9"/>
        <v>-35190000</v>
      </c>
      <c r="J70" s="53">
        <f t="shared" si="10"/>
        <v>0</v>
      </c>
      <c r="K70" s="53">
        <f t="shared" si="11"/>
        <v>-35190000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763</v>
      </c>
      <c r="H71" s="36">
        <f t="shared" si="8"/>
        <v>1</v>
      </c>
      <c r="I71" s="11">
        <f t="shared" si="9"/>
        <v>87887556</v>
      </c>
      <c r="J71" s="53">
        <f t="shared" si="10"/>
        <v>79104744</v>
      </c>
      <c r="K71" s="53">
        <f t="shared" si="11"/>
        <v>8782812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762</v>
      </c>
      <c r="H72" s="36">
        <f t="shared" si="8"/>
        <v>0</v>
      </c>
      <c r="I72" s="11">
        <f t="shared" si="9"/>
        <v>-115800378</v>
      </c>
      <c r="J72" s="53">
        <f t="shared" si="10"/>
        <v>0</v>
      </c>
      <c r="K72" s="53">
        <f t="shared" si="11"/>
        <v>-115800378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761</v>
      </c>
      <c r="H73" s="36">
        <f t="shared" si="8"/>
        <v>0</v>
      </c>
      <c r="I73" s="11">
        <f t="shared" si="9"/>
        <v>-612985500</v>
      </c>
      <c r="J73" s="53">
        <f t="shared" si="10"/>
        <v>0</v>
      </c>
      <c r="K73" s="53">
        <f t="shared" si="11"/>
        <v>-612985500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754</v>
      </c>
      <c r="H74" s="36">
        <f t="shared" si="8"/>
        <v>1</v>
      </c>
      <c r="I74" s="11">
        <f t="shared" si="9"/>
        <v>5267235000</v>
      </c>
      <c r="J74" s="53">
        <f t="shared" si="10"/>
        <v>0</v>
      </c>
      <c r="K74" s="53">
        <f t="shared" si="11"/>
        <v>5267235000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753</v>
      </c>
      <c r="H75" s="36">
        <f t="shared" si="8"/>
        <v>1</v>
      </c>
      <c r="I75" s="11">
        <f t="shared" si="9"/>
        <v>2256000000</v>
      </c>
      <c r="J75" s="53">
        <f t="shared" si="10"/>
        <v>0</v>
      </c>
      <c r="K75" s="53">
        <f t="shared" si="11"/>
        <v>2256000000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751</v>
      </c>
      <c r="H76" s="36">
        <f t="shared" si="8"/>
        <v>1</v>
      </c>
      <c r="I76" s="11">
        <f t="shared" si="9"/>
        <v>2250000000</v>
      </c>
      <c r="J76" s="53">
        <f t="shared" si="10"/>
        <v>0</v>
      </c>
      <c r="K76" s="53">
        <f t="shared" si="11"/>
        <v>2250000000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750</v>
      </c>
      <c r="H77" s="36">
        <f t="shared" si="8"/>
        <v>1</v>
      </c>
      <c r="I77" s="11">
        <f t="shared" si="9"/>
        <v>2247000000</v>
      </c>
      <c r="J77" s="53">
        <f t="shared" si="10"/>
        <v>0</v>
      </c>
      <c r="K77" s="53">
        <f t="shared" si="11"/>
        <v>2247000000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749</v>
      </c>
      <c r="H78" s="36">
        <f t="shared" si="8"/>
        <v>0</v>
      </c>
      <c r="I78" s="11">
        <f t="shared" si="9"/>
        <v>-2396800000</v>
      </c>
      <c r="J78" s="53">
        <f t="shared" si="10"/>
        <v>-2396800000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748</v>
      </c>
      <c r="H79" s="36">
        <f t="shared" si="8"/>
        <v>0</v>
      </c>
      <c r="I79" s="11">
        <f t="shared" si="9"/>
        <v>-598400000</v>
      </c>
      <c r="J79" s="53">
        <f t="shared" si="10"/>
        <v>-598400000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747</v>
      </c>
      <c r="H80" s="36">
        <f t="shared" si="8"/>
        <v>0</v>
      </c>
      <c r="I80" s="11">
        <f t="shared" si="9"/>
        <v>-36149571</v>
      </c>
      <c r="J80" s="53">
        <f t="shared" si="10"/>
        <v>0</v>
      </c>
      <c r="K80" s="53">
        <f t="shared" si="11"/>
        <v>-36149571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746</v>
      </c>
      <c r="H81" s="36">
        <f t="shared" si="8"/>
        <v>0</v>
      </c>
      <c r="I81" s="11">
        <f t="shared" si="9"/>
        <v>-104440000</v>
      </c>
      <c r="J81" s="53">
        <f t="shared" si="10"/>
        <v>0</v>
      </c>
      <c r="K81" s="53">
        <f t="shared" si="11"/>
        <v>-104440000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745</v>
      </c>
      <c r="H82" s="36">
        <f t="shared" si="8"/>
        <v>0</v>
      </c>
      <c r="I82" s="11">
        <f t="shared" si="9"/>
        <v>-186250000</v>
      </c>
      <c r="J82" s="53">
        <f t="shared" si="10"/>
        <v>0</v>
      </c>
      <c r="K82" s="53">
        <f t="shared" si="11"/>
        <v>-186250000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744</v>
      </c>
      <c r="H83" s="36">
        <f t="shared" si="8"/>
        <v>0</v>
      </c>
      <c r="I83" s="11">
        <f t="shared" si="9"/>
        <v>-148800000</v>
      </c>
      <c r="J83" s="53">
        <f t="shared" si="10"/>
        <v>0</v>
      </c>
      <c r="K83" s="53">
        <f t="shared" si="11"/>
        <v>-148800000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741</v>
      </c>
      <c r="H84" s="36">
        <f t="shared" si="8"/>
        <v>1</v>
      </c>
      <c r="I84" s="11">
        <f t="shared" si="9"/>
        <v>1210048000</v>
      </c>
      <c r="J84" s="53">
        <f t="shared" si="10"/>
        <v>0</v>
      </c>
      <c r="K84" s="53">
        <f t="shared" si="11"/>
        <v>1210048000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737</v>
      </c>
      <c r="H85" s="36">
        <f t="shared" si="8"/>
        <v>1</v>
      </c>
      <c r="I85" s="11">
        <f t="shared" si="9"/>
        <v>1840000000</v>
      </c>
      <c r="J85" s="53">
        <f t="shared" si="10"/>
        <v>0</v>
      </c>
      <c r="K85" s="53">
        <f t="shared" si="11"/>
        <v>1840000000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733</v>
      </c>
      <c r="H86" s="36">
        <f t="shared" si="8"/>
        <v>1</v>
      </c>
      <c r="I86" s="11">
        <f t="shared" si="9"/>
        <v>136371600</v>
      </c>
      <c r="J86" s="53">
        <f t="shared" si="10"/>
        <v>62183400</v>
      </c>
      <c r="K86" s="53">
        <f t="shared" si="11"/>
        <v>74188200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730</v>
      </c>
      <c r="H87" s="36">
        <f t="shared" si="8"/>
        <v>0</v>
      </c>
      <c r="I87" s="11">
        <f t="shared" si="9"/>
        <v>-146000000</v>
      </c>
      <c r="J87" s="53">
        <f t="shared" si="10"/>
        <v>0</v>
      </c>
      <c r="K87" s="53">
        <f t="shared" si="11"/>
        <v>-146000000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729</v>
      </c>
      <c r="H88" s="36">
        <f t="shared" si="8"/>
        <v>0</v>
      </c>
      <c r="I88" s="11">
        <f t="shared" si="9"/>
        <v>-86022000</v>
      </c>
      <c r="J88" s="53">
        <f t="shared" si="10"/>
        <v>-50301000</v>
      </c>
      <c r="K88" s="53">
        <f t="shared" si="11"/>
        <v>-35721000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721</v>
      </c>
      <c r="H89" s="36">
        <f t="shared" si="8"/>
        <v>0</v>
      </c>
      <c r="I89" s="11">
        <f t="shared" si="9"/>
        <v>-2307848900</v>
      </c>
      <c r="J89" s="53">
        <f t="shared" si="10"/>
        <v>0</v>
      </c>
      <c r="K89" s="53">
        <f t="shared" si="11"/>
        <v>-2307848900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720</v>
      </c>
      <c r="H90" s="36">
        <f t="shared" si="8"/>
        <v>0</v>
      </c>
      <c r="I90" s="11">
        <f t="shared" si="9"/>
        <v>-2304648000</v>
      </c>
      <c r="J90" s="53">
        <f t="shared" si="10"/>
        <v>0</v>
      </c>
      <c r="K90" s="53">
        <f t="shared" si="11"/>
        <v>-2304648000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719</v>
      </c>
      <c r="H91" s="36">
        <f t="shared" si="8"/>
        <v>0</v>
      </c>
      <c r="I91" s="11">
        <f t="shared" si="9"/>
        <v>-2301447100</v>
      </c>
      <c r="J91" s="53">
        <f t="shared" si="10"/>
        <v>0</v>
      </c>
      <c r="K91" s="53">
        <f t="shared" si="11"/>
        <v>-2301447100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718</v>
      </c>
      <c r="H92" s="36">
        <f t="shared" si="8"/>
        <v>0</v>
      </c>
      <c r="I92" s="11">
        <f t="shared" si="9"/>
        <v>-2298246200</v>
      </c>
      <c r="J92" s="53">
        <f t="shared" si="10"/>
        <v>0</v>
      </c>
      <c r="K92" s="53">
        <f t="shared" si="11"/>
        <v>-2298246200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717</v>
      </c>
      <c r="H93" s="36">
        <f t="shared" si="8"/>
        <v>0</v>
      </c>
      <c r="I93" s="11">
        <f t="shared" si="9"/>
        <v>-2295045300</v>
      </c>
      <c r="J93" s="53">
        <f t="shared" si="10"/>
        <v>0</v>
      </c>
      <c r="K93" s="53">
        <f t="shared" si="11"/>
        <v>-2295045300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716</v>
      </c>
      <c r="H94" s="36">
        <f t="shared" si="8"/>
        <v>0</v>
      </c>
      <c r="I94" s="11">
        <f t="shared" si="9"/>
        <v>-2291844400</v>
      </c>
      <c r="J94" s="53">
        <f t="shared" si="10"/>
        <v>0</v>
      </c>
      <c r="K94" s="53">
        <f t="shared" si="11"/>
        <v>-2291844400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714</v>
      </c>
      <c r="H95" s="36">
        <f t="shared" si="8"/>
        <v>0</v>
      </c>
      <c r="I95" s="11">
        <f t="shared" si="9"/>
        <v>-854369544</v>
      </c>
      <c r="J95" s="53">
        <f t="shared" si="10"/>
        <v>0</v>
      </c>
      <c r="K95" s="53">
        <f t="shared" si="11"/>
        <v>-854369544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704</v>
      </c>
      <c r="H96" s="36">
        <f t="shared" si="8"/>
        <v>0</v>
      </c>
      <c r="I96" s="11">
        <f t="shared" si="9"/>
        <v>-140800000</v>
      </c>
      <c r="J96" s="53">
        <f t="shared" si="10"/>
        <v>0</v>
      </c>
      <c r="K96" s="53">
        <f t="shared" si="11"/>
        <v>-140800000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703</v>
      </c>
      <c r="H97" s="36">
        <f t="shared" si="8"/>
        <v>1</v>
      </c>
      <c r="I97" s="11">
        <f t="shared" si="9"/>
        <v>112009716</v>
      </c>
      <c r="J97" s="53">
        <f t="shared" si="10"/>
        <v>48386052</v>
      </c>
      <c r="K97" s="53">
        <f t="shared" si="11"/>
        <v>63623664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698</v>
      </c>
      <c r="H98" s="36">
        <f t="shared" si="8"/>
        <v>1</v>
      </c>
      <c r="I98" s="11">
        <f t="shared" si="9"/>
        <v>79714496</v>
      </c>
      <c r="J98" s="53">
        <f t="shared" si="10"/>
        <v>0</v>
      </c>
      <c r="K98" s="53">
        <f t="shared" si="11"/>
        <v>79714496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695</v>
      </c>
      <c r="H99" s="36">
        <f t="shared" si="8"/>
        <v>0</v>
      </c>
      <c r="I99" s="11">
        <f t="shared" si="9"/>
        <v>-920875000</v>
      </c>
      <c r="J99" s="53">
        <f t="shared" si="10"/>
        <v>0</v>
      </c>
      <c r="K99" s="53">
        <f t="shared" si="11"/>
        <v>-920875000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690</v>
      </c>
      <c r="H100" s="36">
        <f t="shared" si="8"/>
        <v>1</v>
      </c>
      <c r="I100" s="11">
        <f t="shared" si="9"/>
        <v>912925000</v>
      </c>
      <c r="J100" s="53">
        <f t="shared" si="10"/>
        <v>0</v>
      </c>
      <c r="K100" s="53">
        <f t="shared" si="11"/>
        <v>912925000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673</v>
      </c>
      <c r="H101" s="36">
        <f t="shared" si="8"/>
        <v>1</v>
      </c>
      <c r="I101" s="11">
        <f t="shared" si="9"/>
        <v>44919840</v>
      </c>
      <c r="J101" s="53">
        <f t="shared" si="10"/>
        <v>44919840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670</v>
      </c>
      <c r="H102" s="36">
        <f t="shared" si="8"/>
        <v>1</v>
      </c>
      <c r="I102" s="11">
        <f t="shared" si="9"/>
        <v>2007000000</v>
      </c>
      <c r="J102" s="53">
        <f t="shared" si="10"/>
        <v>0</v>
      </c>
      <c r="K102" s="53">
        <f t="shared" si="11"/>
        <v>2007000000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663</v>
      </c>
      <c r="H103" s="36">
        <f t="shared" si="8"/>
        <v>0</v>
      </c>
      <c r="I103" s="11">
        <f t="shared" si="9"/>
        <v>-663000000</v>
      </c>
      <c r="J103" s="53">
        <f t="shared" si="10"/>
        <v>-663000000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653</v>
      </c>
      <c r="H104" s="36">
        <f t="shared" si="8"/>
        <v>1</v>
      </c>
      <c r="I104" s="11">
        <f t="shared" si="9"/>
        <v>1956000000</v>
      </c>
      <c r="J104" s="53">
        <f t="shared" si="10"/>
        <v>1956000000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652</v>
      </c>
      <c r="H105" s="36">
        <f t="shared" si="8"/>
        <v>1</v>
      </c>
      <c r="I105" s="11">
        <f t="shared" si="9"/>
        <v>729120000</v>
      </c>
      <c r="J105" s="53">
        <f t="shared" si="10"/>
        <v>729120000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652</v>
      </c>
      <c r="H106" s="36">
        <f t="shared" si="8"/>
        <v>0</v>
      </c>
      <c r="I106" s="11">
        <f t="shared" si="9"/>
        <v>-1956000000</v>
      </c>
      <c r="J106" s="53">
        <f t="shared" si="10"/>
        <v>0</v>
      </c>
      <c r="K106" s="53">
        <f t="shared" si="11"/>
        <v>-1956000000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643</v>
      </c>
      <c r="H107" s="36">
        <f t="shared" si="8"/>
        <v>1</v>
      </c>
      <c r="I107" s="11">
        <f t="shared" si="9"/>
        <v>58097148</v>
      </c>
      <c r="J107" s="53">
        <f t="shared" si="10"/>
        <v>48223830</v>
      </c>
      <c r="K107" s="53">
        <f t="shared" si="11"/>
        <v>9873318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641</v>
      </c>
      <c r="H108" s="36">
        <f t="shared" si="8"/>
        <v>0</v>
      </c>
      <c r="I108" s="11">
        <f t="shared" si="9"/>
        <v>-1090148700</v>
      </c>
      <c r="J108" s="53">
        <f t="shared" si="10"/>
        <v>0</v>
      </c>
      <c r="K108" s="53">
        <f t="shared" si="11"/>
        <v>-1090148700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637</v>
      </c>
      <c r="H109" s="36">
        <f t="shared" si="8"/>
        <v>0</v>
      </c>
      <c r="I109" s="11">
        <f t="shared" si="9"/>
        <v>-637318500</v>
      </c>
      <c r="J109" s="53">
        <f t="shared" si="10"/>
        <v>0</v>
      </c>
      <c r="K109" s="53">
        <f t="shared" si="11"/>
        <v>-637318500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634</v>
      </c>
      <c r="H110" s="36">
        <f t="shared" si="8"/>
        <v>1</v>
      </c>
      <c r="I110" s="11">
        <f t="shared" si="9"/>
        <v>12660000000</v>
      </c>
      <c r="J110" s="53">
        <f t="shared" si="10"/>
        <v>0</v>
      </c>
      <c r="K110" s="53">
        <f t="shared" si="11"/>
        <v>12660000000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614</v>
      </c>
      <c r="H111" s="36">
        <f t="shared" si="8"/>
        <v>1</v>
      </c>
      <c r="I111" s="11">
        <f t="shared" si="9"/>
        <v>107077614</v>
      </c>
      <c r="J111" s="53">
        <f t="shared" si="10"/>
        <v>53553519</v>
      </c>
      <c r="K111" s="53">
        <f t="shared" si="11"/>
        <v>53524095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598</v>
      </c>
      <c r="H112" s="36">
        <f t="shared" si="8"/>
        <v>0</v>
      </c>
      <c r="I112" s="11">
        <f t="shared" si="9"/>
        <v>-16983200000</v>
      </c>
      <c r="J112" s="53">
        <f t="shared" si="10"/>
        <v>0</v>
      </c>
      <c r="K112" s="53">
        <f t="shared" si="11"/>
        <v>-16983200000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583</v>
      </c>
      <c r="H113" s="36">
        <f t="shared" si="8"/>
        <v>1</v>
      </c>
      <c r="I113" s="11">
        <f t="shared" si="9"/>
        <v>94889280</v>
      </c>
      <c r="J113" s="53">
        <f t="shared" si="10"/>
        <v>71301402</v>
      </c>
      <c r="K113" s="53">
        <f t="shared" si="11"/>
        <v>23587878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583</v>
      </c>
      <c r="H114" s="36">
        <f t="shared" si="8"/>
        <v>0</v>
      </c>
      <c r="I114" s="11">
        <f t="shared" si="9"/>
        <v>-3323100</v>
      </c>
      <c r="J114" s="53">
        <f t="shared" si="10"/>
        <v>-1457500</v>
      </c>
      <c r="K114" s="53">
        <f t="shared" si="11"/>
        <v>-1865600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570</v>
      </c>
      <c r="H115" s="36">
        <f t="shared" si="8"/>
        <v>0</v>
      </c>
      <c r="I115" s="11">
        <f t="shared" si="9"/>
        <v>0</v>
      </c>
      <c r="J115" s="53">
        <f t="shared" si="10"/>
        <v>285000000</v>
      </c>
      <c r="K115" s="53">
        <f t="shared" si="11"/>
        <v>-285000000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562</v>
      </c>
      <c r="H116" s="36">
        <f t="shared" si="8"/>
        <v>0</v>
      </c>
      <c r="I116" s="11">
        <f t="shared" si="9"/>
        <v>-89920000</v>
      </c>
      <c r="J116" s="53">
        <f t="shared" si="10"/>
        <v>0</v>
      </c>
      <c r="K116" s="53">
        <f t="shared" si="11"/>
        <v>-89920000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553</v>
      </c>
      <c r="H117" s="36">
        <f t="shared" si="8"/>
        <v>1</v>
      </c>
      <c r="I117" s="11">
        <f t="shared" si="9"/>
        <v>816960</v>
      </c>
      <c r="J117" s="53">
        <f t="shared" si="10"/>
        <v>59031432</v>
      </c>
      <c r="K117" s="53">
        <f t="shared" si="11"/>
        <v>-58214472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531</v>
      </c>
      <c r="H118" s="36">
        <f t="shared" si="8"/>
        <v>1</v>
      </c>
      <c r="I118" s="11">
        <f t="shared" si="9"/>
        <v>20881735000</v>
      </c>
      <c r="J118" s="53">
        <f t="shared" si="10"/>
        <v>0</v>
      </c>
      <c r="K118" s="53">
        <f t="shared" si="11"/>
        <v>20881735000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522</v>
      </c>
      <c r="H119" s="36">
        <f t="shared" si="8"/>
        <v>1</v>
      </c>
      <c r="I119" s="11">
        <f t="shared" si="9"/>
        <v>49766441</v>
      </c>
      <c r="J119" s="53">
        <f t="shared" si="10"/>
        <v>57338134</v>
      </c>
      <c r="K119" s="53">
        <f t="shared" si="11"/>
        <v>-7571693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518</v>
      </c>
      <c r="H120" s="11">
        <f t="shared" si="8"/>
        <v>1</v>
      </c>
      <c r="I120" s="11">
        <f t="shared" ref="I120:I266" si="13">B120*(G120-H120)</f>
        <v>1034000000</v>
      </c>
      <c r="J120" s="11">
        <f t="shared" si="10"/>
        <v>0</v>
      </c>
      <c r="K120" s="11">
        <f t="shared" si="11"/>
        <v>1034000000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492</v>
      </c>
      <c r="H121" s="11">
        <f t="shared" si="8"/>
        <v>1</v>
      </c>
      <c r="I121" s="11">
        <f t="shared" si="13"/>
        <v>1276600000</v>
      </c>
      <c r="J121" s="11">
        <f t="shared" si="10"/>
        <v>0</v>
      </c>
      <c r="K121" s="11">
        <f t="shared" si="11"/>
        <v>1276600000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491</v>
      </c>
      <c r="H122" s="11">
        <f t="shared" si="8"/>
        <v>1</v>
      </c>
      <c r="I122" s="11">
        <f t="shared" si="13"/>
        <v>188429990</v>
      </c>
      <c r="J122" s="11">
        <f t="shared" si="10"/>
        <v>54344920</v>
      </c>
      <c r="K122" s="11">
        <f t="shared" si="11"/>
        <v>134085070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490</v>
      </c>
      <c r="H123" s="11">
        <f t="shared" si="8"/>
        <v>0</v>
      </c>
      <c r="I123" s="11">
        <f t="shared" si="13"/>
        <v>0</v>
      </c>
      <c r="J123" s="11">
        <f t="shared" si="10"/>
        <v>392000000</v>
      </c>
      <c r="K123" s="11">
        <f t="shared" si="11"/>
        <v>-392000000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476</v>
      </c>
      <c r="H124" s="11">
        <f t="shared" si="8"/>
        <v>0</v>
      </c>
      <c r="I124" s="11">
        <f t="shared" si="13"/>
        <v>-1428000000</v>
      </c>
      <c r="J124" s="11">
        <f t="shared" si="10"/>
        <v>0</v>
      </c>
      <c r="K124" s="11">
        <f t="shared" si="11"/>
        <v>-1428000000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461</v>
      </c>
      <c r="H125" s="11">
        <f t="shared" si="8"/>
        <v>1</v>
      </c>
      <c r="I125" s="11">
        <f t="shared" si="13"/>
        <v>184326600</v>
      </c>
      <c r="J125" s="11">
        <f t="shared" si="10"/>
        <v>54682500</v>
      </c>
      <c r="K125" s="11">
        <f t="shared" si="11"/>
        <v>129644100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461</v>
      </c>
      <c r="H126" s="11">
        <f t="shared" si="8"/>
        <v>1</v>
      </c>
      <c r="I126" s="11">
        <f t="shared" si="13"/>
        <v>19320000000</v>
      </c>
      <c r="J126" s="11">
        <f t="shared" si="10"/>
        <v>0</v>
      </c>
      <c r="K126" s="11">
        <f t="shared" si="11"/>
        <v>19320000000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436</v>
      </c>
      <c r="H127" s="11">
        <f t="shared" si="8"/>
        <v>0</v>
      </c>
      <c r="I127" s="11">
        <f t="shared" si="13"/>
        <v>-2180000</v>
      </c>
      <c r="J127" s="11">
        <f t="shared" si="10"/>
        <v>0</v>
      </c>
      <c r="K127" s="11">
        <f t="shared" si="11"/>
        <v>-2180000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430</v>
      </c>
      <c r="H128" s="11">
        <f t="shared" si="8"/>
        <v>1</v>
      </c>
      <c r="I128" s="11">
        <f t="shared" si="13"/>
        <v>330919446</v>
      </c>
      <c r="J128" s="11">
        <f t="shared" si="10"/>
        <v>51779013</v>
      </c>
      <c r="K128" s="11">
        <f t="shared" si="11"/>
        <v>279140433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427</v>
      </c>
      <c r="H129" s="11">
        <f t="shared" si="8"/>
        <v>1</v>
      </c>
      <c r="I129" s="11">
        <f t="shared" si="13"/>
        <v>1065000000</v>
      </c>
      <c r="J129" s="11">
        <f t="shared" si="10"/>
        <v>0</v>
      </c>
      <c r="K129" s="11">
        <f t="shared" si="11"/>
        <v>1065000000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413</v>
      </c>
      <c r="H130" s="11">
        <f t="shared" si="8"/>
        <v>0</v>
      </c>
      <c r="I130" s="11">
        <f t="shared" si="13"/>
        <v>-413000000</v>
      </c>
      <c r="J130" s="11">
        <f t="shared" si="10"/>
        <v>-413000000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408</v>
      </c>
      <c r="H131" s="11">
        <f t="shared" si="8"/>
        <v>0</v>
      </c>
      <c r="I131" s="11">
        <f t="shared" si="13"/>
        <v>-20400000000</v>
      </c>
      <c r="J131" s="11">
        <f t="shared" si="10"/>
        <v>0</v>
      </c>
      <c r="K131" s="11">
        <f t="shared" si="11"/>
        <v>-20400000000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400</v>
      </c>
      <c r="H132" s="11">
        <f t="shared" ref="H132:H266" si="15">IF(B132&gt;0,1,0)</f>
        <v>1</v>
      </c>
      <c r="I132" s="11">
        <f t="shared" si="13"/>
        <v>245100513</v>
      </c>
      <c r="J132" s="11">
        <f t="shared" ref="J132:J206" si="16">C132*(G132-H132)</f>
        <v>42282429</v>
      </c>
      <c r="K132" s="11">
        <f t="shared" ref="K132:K266" si="17">D132*(G132-H132)</f>
        <v>202818084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396</v>
      </c>
      <c r="H133" s="11">
        <f t="shared" si="15"/>
        <v>0</v>
      </c>
      <c r="I133" s="11">
        <f t="shared" si="13"/>
        <v>-479437200</v>
      </c>
      <c r="J133" s="11">
        <f t="shared" si="16"/>
        <v>0</v>
      </c>
      <c r="K133" s="11">
        <f t="shared" si="17"/>
        <v>-479437200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387</v>
      </c>
      <c r="H134" s="11">
        <f t="shared" si="15"/>
        <v>0</v>
      </c>
      <c r="I134" s="11">
        <f t="shared" si="13"/>
        <v>-25155000</v>
      </c>
      <c r="J134" s="11">
        <f t="shared" si="16"/>
        <v>0</v>
      </c>
      <c r="K134" s="11">
        <f t="shared" si="17"/>
        <v>-25155000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387</v>
      </c>
      <c r="H135" s="11">
        <f t="shared" si="15"/>
        <v>0</v>
      </c>
      <c r="I135" s="11">
        <f t="shared" si="13"/>
        <v>-12500100</v>
      </c>
      <c r="J135" s="11">
        <f t="shared" si="16"/>
        <v>0</v>
      </c>
      <c r="K135" s="11">
        <f t="shared" si="17"/>
        <v>-12500100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379</v>
      </c>
      <c r="H136" s="11">
        <f t="shared" si="15"/>
        <v>0</v>
      </c>
      <c r="I136" s="11">
        <f t="shared" si="13"/>
        <v>-379000000</v>
      </c>
      <c r="J136" s="11">
        <f t="shared" si="16"/>
        <v>-379000000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370</v>
      </c>
      <c r="H137" s="11">
        <f t="shared" si="15"/>
        <v>1</v>
      </c>
      <c r="I137" s="11">
        <f t="shared" si="13"/>
        <v>107332137</v>
      </c>
      <c r="J137" s="11">
        <f t="shared" si="16"/>
        <v>35925471</v>
      </c>
      <c r="K137" s="11">
        <f t="shared" si="17"/>
        <v>71406666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353</v>
      </c>
      <c r="H138" s="11">
        <f t="shared" si="15"/>
        <v>0</v>
      </c>
      <c r="I138" s="11">
        <f t="shared" si="13"/>
        <v>-353176500</v>
      </c>
      <c r="J138" s="11">
        <f t="shared" si="16"/>
        <v>-353176500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341</v>
      </c>
      <c r="H139" s="11">
        <f t="shared" si="15"/>
        <v>1</v>
      </c>
      <c r="I139" s="11">
        <f t="shared" si="13"/>
        <v>95961600</v>
      </c>
      <c r="J139" s="11">
        <f t="shared" si="16"/>
        <v>30194380</v>
      </c>
      <c r="K139" s="11">
        <f t="shared" si="17"/>
        <v>65767220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338</v>
      </c>
      <c r="H140" s="11">
        <f t="shared" si="15"/>
        <v>1</v>
      </c>
      <c r="I140" s="11">
        <f t="shared" si="13"/>
        <v>505500000</v>
      </c>
      <c r="J140" s="11">
        <f t="shared" si="16"/>
        <v>0</v>
      </c>
      <c r="K140" s="11">
        <f t="shared" si="17"/>
        <v>505500000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325</v>
      </c>
      <c r="H141" s="11">
        <f t="shared" si="15"/>
        <v>0</v>
      </c>
      <c r="I141" s="11">
        <f t="shared" si="13"/>
        <v>0</v>
      </c>
      <c r="J141" s="11">
        <f t="shared" si="16"/>
        <v>-325000000</v>
      </c>
      <c r="K141" s="11">
        <f t="shared" si="17"/>
        <v>325000000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311</v>
      </c>
      <c r="H142" s="11">
        <f t="shared" si="15"/>
        <v>1</v>
      </c>
      <c r="I142" s="11">
        <f t="shared" si="13"/>
        <v>90176830</v>
      </c>
      <c r="J142" s="11">
        <f t="shared" si="16"/>
        <v>25116820</v>
      </c>
      <c r="K142" s="11">
        <f t="shared" si="17"/>
        <v>65060010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291</v>
      </c>
      <c r="H143" s="11">
        <f t="shared" si="15"/>
        <v>0</v>
      </c>
      <c r="I143" s="11">
        <f t="shared" si="13"/>
        <v>0</v>
      </c>
      <c r="J143" s="11">
        <f t="shared" si="16"/>
        <v>-291000000</v>
      </c>
      <c r="K143" s="11">
        <f t="shared" si="17"/>
        <v>291000000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281</v>
      </c>
      <c r="H144" s="11">
        <f t="shared" si="15"/>
        <v>1</v>
      </c>
      <c r="I144" s="11">
        <f t="shared" si="13"/>
        <v>82558560</v>
      </c>
      <c r="J144" s="11">
        <f t="shared" si="16"/>
        <v>20903960</v>
      </c>
      <c r="K144" s="11">
        <f t="shared" si="17"/>
        <v>61654600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266</v>
      </c>
      <c r="H145" s="11">
        <f t="shared" si="15"/>
        <v>0</v>
      </c>
      <c r="I145" s="11">
        <f t="shared" si="13"/>
        <v>-2660000</v>
      </c>
      <c r="J145" s="11">
        <f t="shared" si="16"/>
        <v>-1330000</v>
      </c>
      <c r="K145" s="11">
        <f t="shared" si="17"/>
        <v>-1330000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261</v>
      </c>
      <c r="H146" s="11">
        <f t="shared" si="15"/>
        <v>0</v>
      </c>
      <c r="I146" s="11">
        <f t="shared" si="13"/>
        <v>-261130500</v>
      </c>
      <c r="J146" s="11">
        <f t="shared" si="16"/>
        <v>-261130500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255</v>
      </c>
      <c r="H147" s="11">
        <f t="shared" si="15"/>
        <v>0</v>
      </c>
      <c r="I147" s="11">
        <f t="shared" si="13"/>
        <v>-6885000000</v>
      </c>
      <c r="J147" s="11">
        <f t="shared" si="16"/>
        <v>0</v>
      </c>
      <c r="K147" s="11">
        <f t="shared" si="17"/>
        <v>-6885000000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252</v>
      </c>
      <c r="H148" s="11">
        <f t="shared" si="15"/>
        <v>1</v>
      </c>
      <c r="I148" s="11">
        <f t="shared" si="13"/>
        <v>63361436</v>
      </c>
      <c r="J148" s="11">
        <f t="shared" si="16"/>
        <v>16443010</v>
      </c>
      <c r="K148" s="11">
        <f t="shared" si="17"/>
        <v>46918426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244</v>
      </c>
      <c r="H149" s="11">
        <f t="shared" si="15"/>
        <v>1</v>
      </c>
      <c r="I149" s="11">
        <f t="shared" si="13"/>
        <v>12733200000</v>
      </c>
      <c r="J149" s="11">
        <f t="shared" si="16"/>
        <v>0</v>
      </c>
      <c r="K149" s="11">
        <f t="shared" si="17"/>
        <v>12733200000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237</v>
      </c>
      <c r="H150" s="11">
        <f t="shared" si="15"/>
        <v>0</v>
      </c>
      <c r="I150" s="11">
        <f t="shared" si="13"/>
        <v>-12324000000</v>
      </c>
      <c r="J150" s="11">
        <f t="shared" si="16"/>
        <v>0</v>
      </c>
      <c r="K150" s="11">
        <f t="shared" si="17"/>
        <v>-12324000000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232</v>
      </c>
      <c r="H151" s="99">
        <f t="shared" si="15"/>
        <v>0</v>
      </c>
      <c r="I151" s="99">
        <f t="shared" si="13"/>
        <v>-1856000000</v>
      </c>
      <c r="J151" s="99">
        <f t="shared" si="16"/>
        <v>-1571134392</v>
      </c>
      <c r="K151" s="11">
        <f t="shared" si="17"/>
        <v>-284865608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232</v>
      </c>
      <c r="H152" s="99">
        <f t="shared" si="15"/>
        <v>0</v>
      </c>
      <c r="I152" s="99">
        <f t="shared" si="13"/>
        <v>-7245360</v>
      </c>
      <c r="J152" s="99">
        <f t="shared" si="16"/>
        <v>0</v>
      </c>
      <c r="K152" s="99">
        <f t="shared" si="17"/>
        <v>-7245360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221</v>
      </c>
      <c r="H153" s="99">
        <f t="shared" si="15"/>
        <v>1</v>
      </c>
      <c r="I153" s="99">
        <f t="shared" si="13"/>
        <v>29719140</v>
      </c>
      <c r="J153" s="99">
        <f t="shared" si="16"/>
        <v>9048600</v>
      </c>
      <c r="K153" s="99">
        <f t="shared" si="17"/>
        <v>20670540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218</v>
      </c>
      <c r="H154" s="99">
        <f t="shared" si="15"/>
        <v>1</v>
      </c>
      <c r="I154" s="99">
        <f t="shared" si="13"/>
        <v>1480825794</v>
      </c>
      <c r="J154" s="99">
        <f t="shared" si="16"/>
        <v>1480825794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213</v>
      </c>
      <c r="H155" s="99">
        <f t="shared" si="15"/>
        <v>0</v>
      </c>
      <c r="I155" s="99">
        <f t="shared" si="13"/>
        <v>-42600000</v>
      </c>
      <c r="J155" s="99">
        <f t="shared" si="16"/>
        <v>0</v>
      </c>
      <c r="K155" s="99">
        <f t="shared" si="17"/>
        <v>-42600000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213</v>
      </c>
      <c r="H156" s="99">
        <f t="shared" si="15"/>
        <v>0</v>
      </c>
      <c r="I156" s="99">
        <f t="shared" si="13"/>
        <v>-52789920</v>
      </c>
      <c r="J156" s="99">
        <f t="shared" si="16"/>
        <v>0</v>
      </c>
      <c r="K156" s="99">
        <f t="shared" si="17"/>
        <v>-52789920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212</v>
      </c>
      <c r="H157" s="99">
        <f t="shared" si="15"/>
        <v>0</v>
      </c>
      <c r="I157" s="99">
        <f t="shared" si="13"/>
        <v>-34416080</v>
      </c>
      <c r="J157" s="99">
        <f t="shared" si="16"/>
        <v>0</v>
      </c>
      <c r="K157" s="99">
        <f t="shared" si="17"/>
        <v>-34416080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212</v>
      </c>
      <c r="H158" s="99">
        <f t="shared" si="15"/>
        <v>0</v>
      </c>
      <c r="I158" s="99">
        <f t="shared" si="13"/>
        <v>-636190800</v>
      </c>
      <c r="J158" s="99">
        <f t="shared" si="16"/>
        <v>0</v>
      </c>
      <c r="K158" s="99">
        <f t="shared" si="17"/>
        <v>-636190800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210</v>
      </c>
      <c r="H159" s="99">
        <f t="shared" si="15"/>
        <v>0</v>
      </c>
      <c r="I159" s="99">
        <f t="shared" si="13"/>
        <v>-210105000</v>
      </c>
      <c r="J159" s="99">
        <f t="shared" si="16"/>
        <v>0</v>
      </c>
      <c r="K159" s="99">
        <f t="shared" si="17"/>
        <v>-210105000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206</v>
      </c>
      <c r="H160" s="99">
        <f t="shared" si="15"/>
        <v>0</v>
      </c>
      <c r="I160" s="99">
        <f t="shared" si="13"/>
        <v>-20600000</v>
      </c>
      <c r="J160" s="99">
        <f t="shared" si="16"/>
        <v>0</v>
      </c>
      <c r="K160" s="99">
        <f t="shared" si="17"/>
        <v>-20600000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205</v>
      </c>
      <c r="H161" s="99">
        <f t="shared" si="15"/>
        <v>0</v>
      </c>
      <c r="I161" s="99">
        <f t="shared" si="13"/>
        <v>-410000000</v>
      </c>
      <c r="J161" s="99">
        <f t="shared" si="16"/>
        <v>0</v>
      </c>
      <c r="K161" s="99">
        <f t="shared" si="17"/>
        <v>-410000000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205</v>
      </c>
      <c r="H162" s="99">
        <f t="shared" si="15"/>
        <v>0</v>
      </c>
      <c r="I162" s="99">
        <f t="shared" si="13"/>
        <v>-205102500</v>
      </c>
      <c r="J162" s="99">
        <f t="shared" si="16"/>
        <v>0</v>
      </c>
      <c r="K162" s="99">
        <f t="shared" si="17"/>
        <v>-205102500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202</v>
      </c>
      <c r="H163" s="99">
        <f t="shared" si="15"/>
        <v>0</v>
      </c>
      <c r="I163" s="99">
        <f t="shared" si="13"/>
        <v>-1010000</v>
      </c>
      <c r="J163" s="99">
        <f t="shared" si="16"/>
        <v>0</v>
      </c>
      <c r="K163" s="99">
        <f t="shared" si="17"/>
        <v>-1010000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192</v>
      </c>
      <c r="H164" s="99">
        <f t="shared" si="15"/>
        <v>1</v>
      </c>
      <c r="I164" s="99">
        <f t="shared" si="13"/>
        <v>573000000</v>
      </c>
      <c r="J164" s="99">
        <f t="shared" si="16"/>
        <v>0</v>
      </c>
      <c r="K164" s="99">
        <f t="shared" si="17"/>
        <v>573000000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191</v>
      </c>
      <c r="H165" s="99">
        <f t="shared" si="15"/>
        <v>1</v>
      </c>
      <c r="I165" s="99">
        <f t="shared" si="13"/>
        <v>570000000</v>
      </c>
      <c r="J165" s="99">
        <f t="shared" si="16"/>
        <v>0</v>
      </c>
      <c r="K165" s="99">
        <f t="shared" si="17"/>
        <v>570000000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190</v>
      </c>
      <c r="H166" s="99">
        <f t="shared" si="15"/>
        <v>1</v>
      </c>
      <c r="I166" s="99">
        <f t="shared" si="13"/>
        <v>3839346</v>
      </c>
      <c r="J166" s="99">
        <f t="shared" si="16"/>
        <v>11310138</v>
      </c>
      <c r="K166" s="99">
        <f t="shared" si="17"/>
        <v>-7470792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185</v>
      </c>
      <c r="H167" s="99">
        <f t="shared" si="15"/>
        <v>0</v>
      </c>
      <c r="I167" s="99">
        <f t="shared" si="13"/>
        <v>-555166500</v>
      </c>
      <c r="J167" s="99">
        <f t="shared" si="16"/>
        <v>0</v>
      </c>
      <c r="K167" s="99">
        <f t="shared" si="17"/>
        <v>-555166500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167</v>
      </c>
      <c r="H168" s="99">
        <f t="shared" si="15"/>
        <v>0</v>
      </c>
      <c r="I168" s="99">
        <f t="shared" si="13"/>
        <v>-501150300</v>
      </c>
      <c r="J168" s="99">
        <f t="shared" si="16"/>
        <v>0</v>
      </c>
      <c r="K168" s="99">
        <f t="shared" si="17"/>
        <v>-501150300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159</v>
      </c>
      <c r="H169" s="99">
        <f t="shared" si="15"/>
        <v>1</v>
      </c>
      <c r="I169" s="99">
        <f t="shared" si="13"/>
        <v>3429390</v>
      </c>
      <c r="J169" s="99">
        <f t="shared" si="16"/>
        <v>10825370</v>
      </c>
      <c r="K169" s="99">
        <f t="shared" si="17"/>
        <v>-7395980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135</v>
      </c>
      <c r="H170" s="99">
        <f t="shared" si="15"/>
        <v>1</v>
      </c>
      <c r="I170" s="99">
        <f t="shared" si="13"/>
        <v>670000000</v>
      </c>
      <c r="J170" s="99">
        <f t="shared" si="16"/>
        <v>0</v>
      </c>
      <c r="K170" s="99">
        <f t="shared" si="17"/>
        <v>670000000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134</v>
      </c>
      <c r="H171" s="99">
        <f t="shared" si="15"/>
        <v>0</v>
      </c>
      <c r="I171" s="99">
        <f t="shared" si="13"/>
        <v>-670000000</v>
      </c>
      <c r="J171" s="99">
        <f t="shared" si="16"/>
        <v>0</v>
      </c>
      <c r="K171" s="99">
        <f t="shared" si="17"/>
        <v>-670000000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128</v>
      </c>
      <c r="H172" s="99">
        <f t="shared" si="15"/>
        <v>1</v>
      </c>
      <c r="I172" s="99">
        <f t="shared" si="13"/>
        <v>62992</v>
      </c>
      <c r="J172" s="99">
        <f t="shared" si="16"/>
        <v>7960487</v>
      </c>
      <c r="K172" s="99">
        <f t="shared" si="17"/>
        <v>-7897495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127</v>
      </c>
      <c r="H173" s="99">
        <f t="shared" si="15"/>
        <v>1</v>
      </c>
      <c r="I173" s="99">
        <f t="shared" si="13"/>
        <v>98910000</v>
      </c>
      <c r="J173" s="99">
        <f t="shared" si="16"/>
        <v>0</v>
      </c>
      <c r="K173" s="99">
        <f t="shared" si="17"/>
        <v>98910000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116</v>
      </c>
      <c r="H174" s="99">
        <f t="shared" si="15"/>
        <v>0</v>
      </c>
      <c r="I174" s="99">
        <f t="shared" si="13"/>
        <v>-3712000</v>
      </c>
      <c r="J174" s="99">
        <f t="shared" si="16"/>
        <v>0</v>
      </c>
      <c r="K174" s="99">
        <f t="shared" si="17"/>
        <v>-3712000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114</v>
      </c>
      <c r="H175" s="99">
        <f t="shared" si="15"/>
        <v>0</v>
      </c>
      <c r="I175" s="99">
        <f t="shared" si="13"/>
        <v>-85500000</v>
      </c>
      <c r="J175" s="99">
        <f t="shared" si="16"/>
        <v>0</v>
      </c>
      <c r="K175" s="99">
        <f t="shared" si="17"/>
        <v>-85500000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105</v>
      </c>
      <c r="H176" s="99">
        <f t="shared" si="15"/>
        <v>0</v>
      </c>
      <c r="I176" s="99">
        <f t="shared" si="13"/>
        <v>-986580</v>
      </c>
      <c r="J176" s="99">
        <f t="shared" si="16"/>
        <v>0</v>
      </c>
      <c r="K176" s="99">
        <f t="shared" si="17"/>
        <v>-986580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104</v>
      </c>
      <c r="H177" s="99">
        <f t="shared" si="15"/>
        <v>0</v>
      </c>
      <c r="I177" s="99">
        <f t="shared" si="13"/>
        <v>-4503200</v>
      </c>
      <c r="J177" s="99">
        <f t="shared" si="16"/>
        <v>0</v>
      </c>
      <c r="K177" s="99">
        <f t="shared" si="17"/>
        <v>-4503200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101</v>
      </c>
      <c r="H178" s="99">
        <f t="shared" si="15"/>
        <v>1</v>
      </c>
      <c r="I178" s="99">
        <f t="shared" si="13"/>
        <v>36000000</v>
      </c>
      <c r="J178" s="99">
        <f t="shared" si="16"/>
        <v>0</v>
      </c>
      <c r="K178" s="99">
        <f t="shared" si="17"/>
        <v>36000000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99</v>
      </c>
      <c r="H179" s="99">
        <f t="shared" si="15"/>
        <v>1</v>
      </c>
      <c r="I179" s="99">
        <f t="shared" si="13"/>
        <v>294000000</v>
      </c>
      <c r="J179" s="99">
        <f t="shared" si="16"/>
        <v>0</v>
      </c>
      <c r="K179" s="99">
        <f t="shared" si="17"/>
        <v>294000000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99</v>
      </c>
      <c r="H180" s="99">
        <f t="shared" si="15"/>
        <v>0</v>
      </c>
      <c r="I180" s="99">
        <f t="shared" si="13"/>
        <v>-1192950</v>
      </c>
      <c r="J180" s="99">
        <f t="shared" si="16"/>
        <v>0</v>
      </c>
      <c r="K180" s="99">
        <f t="shared" si="17"/>
        <v>-1192950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97</v>
      </c>
      <c r="H181" s="99">
        <f t="shared" si="15"/>
        <v>1</v>
      </c>
      <c r="I181" s="99">
        <f t="shared" si="13"/>
        <v>288000000</v>
      </c>
      <c r="J181" s="99">
        <f t="shared" si="16"/>
        <v>0</v>
      </c>
      <c r="K181" s="99">
        <f t="shared" si="17"/>
        <v>288000000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95</v>
      </c>
      <c r="H182" s="99">
        <f t="shared" si="15"/>
        <v>0</v>
      </c>
      <c r="I182" s="99">
        <f t="shared" si="13"/>
        <v>-3401000</v>
      </c>
      <c r="J182" s="99">
        <f t="shared" si="16"/>
        <v>0</v>
      </c>
      <c r="K182" s="99">
        <f t="shared" si="17"/>
        <v>-3401000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94</v>
      </c>
      <c r="H183" s="99">
        <f t="shared" si="15"/>
        <v>1</v>
      </c>
      <c r="I183" s="99">
        <f t="shared" si="13"/>
        <v>334800000</v>
      </c>
      <c r="J183" s="99">
        <f t="shared" si="16"/>
        <v>0</v>
      </c>
      <c r="K183" s="99">
        <f t="shared" si="17"/>
        <v>334800000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94</v>
      </c>
      <c r="H184" s="99">
        <f t="shared" si="15"/>
        <v>0</v>
      </c>
      <c r="I184" s="99">
        <f t="shared" si="13"/>
        <v>-3137438</v>
      </c>
      <c r="J184" s="99">
        <f t="shared" si="16"/>
        <v>0</v>
      </c>
      <c r="K184" s="99">
        <f t="shared" si="17"/>
        <v>-3137438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91</v>
      </c>
      <c r="H185" s="99">
        <f t="shared" si="15"/>
        <v>0</v>
      </c>
      <c r="I185" s="99">
        <f t="shared" si="13"/>
        <v>-891800000</v>
      </c>
      <c r="J185" s="99">
        <f t="shared" si="16"/>
        <v>0</v>
      </c>
      <c r="K185" s="99">
        <f t="shared" si="17"/>
        <v>-891800000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91</v>
      </c>
      <c r="H186" s="99">
        <f t="shared" si="15"/>
        <v>1</v>
      </c>
      <c r="I186" s="99">
        <f t="shared" si="13"/>
        <v>1620000000</v>
      </c>
      <c r="J186" s="99">
        <f t="shared" si="16"/>
        <v>0</v>
      </c>
      <c r="K186" s="99">
        <f t="shared" si="17"/>
        <v>1620000000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91</v>
      </c>
      <c r="H187" s="99">
        <f t="shared" si="15"/>
        <v>0</v>
      </c>
      <c r="I187" s="99">
        <f t="shared" si="13"/>
        <v>-819000000</v>
      </c>
      <c r="J187" s="99">
        <f t="shared" si="16"/>
        <v>0</v>
      </c>
      <c r="K187" s="99">
        <f t="shared" si="17"/>
        <v>-819000000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91</v>
      </c>
      <c r="H188" s="99">
        <f t="shared" si="15"/>
        <v>0</v>
      </c>
      <c r="I188" s="99">
        <f t="shared" si="13"/>
        <v>-1055600</v>
      </c>
      <c r="J188" s="99">
        <f t="shared" si="16"/>
        <v>0</v>
      </c>
      <c r="K188" s="99">
        <f t="shared" si="17"/>
        <v>-1055600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91</v>
      </c>
      <c r="H189" s="99">
        <f t="shared" si="15"/>
        <v>0</v>
      </c>
      <c r="I189" s="99">
        <f t="shared" si="13"/>
        <v>-300693757</v>
      </c>
      <c r="J189" s="99">
        <f t="shared" si="16"/>
        <v>0</v>
      </c>
      <c r="K189" s="99">
        <f t="shared" si="17"/>
        <v>-300693757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90</v>
      </c>
      <c r="H190" s="99">
        <f t="shared" si="15"/>
        <v>0</v>
      </c>
      <c r="I190" s="99">
        <f t="shared" si="13"/>
        <v>-270081000</v>
      </c>
      <c r="J190" s="99">
        <f t="shared" si="16"/>
        <v>0</v>
      </c>
      <c r="K190" s="99">
        <f t="shared" si="17"/>
        <v>-270081000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89</v>
      </c>
      <c r="H191" s="99">
        <f t="shared" si="15"/>
        <v>0</v>
      </c>
      <c r="I191" s="99">
        <f t="shared" si="13"/>
        <v>-245720100</v>
      </c>
      <c r="J191" s="99">
        <f t="shared" si="16"/>
        <v>0</v>
      </c>
      <c r="K191" s="99">
        <f t="shared" si="17"/>
        <v>-245720100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84</v>
      </c>
      <c r="H192" s="99">
        <f t="shared" si="15"/>
        <v>1</v>
      </c>
      <c r="I192" s="99">
        <f t="shared" si="13"/>
        <v>83000000</v>
      </c>
      <c r="J192" s="99">
        <f t="shared" si="16"/>
        <v>0</v>
      </c>
      <c r="K192" s="99">
        <f t="shared" si="17"/>
        <v>83000000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83</v>
      </c>
      <c r="H193" s="99">
        <f t="shared" si="15"/>
        <v>0</v>
      </c>
      <c r="I193" s="99">
        <f t="shared" si="13"/>
        <v>-1245000</v>
      </c>
      <c r="J193" s="99">
        <f t="shared" si="16"/>
        <v>0</v>
      </c>
      <c r="K193" s="99">
        <f t="shared" si="17"/>
        <v>-1245000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81</v>
      </c>
      <c r="H194" s="99">
        <f t="shared" si="15"/>
        <v>0</v>
      </c>
      <c r="I194" s="99">
        <f t="shared" si="13"/>
        <v>-80190000</v>
      </c>
      <c r="J194" s="99">
        <f t="shared" si="16"/>
        <v>0</v>
      </c>
      <c r="K194" s="99">
        <f t="shared" si="17"/>
        <v>-80190000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81</v>
      </c>
      <c r="H195" s="99">
        <f t="shared" si="15"/>
        <v>1</v>
      </c>
      <c r="I195" s="99">
        <f t="shared" si="13"/>
        <v>62640000</v>
      </c>
      <c r="J195" s="99">
        <f t="shared" si="16"/>
        <v>0</v>
      </c>
      <c r="K195" s="99">
        <f t="shared" si="17"/>
        <v>62640000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79</v>
      </c>
      <c r="H196" s="99">
        <f t="shared" si="15"/>
        <v>0</v>
      </c>
      <c r="I196" s="99">
        <f t="shared" si="13"/>
        <v>-59289500</v>
      </c>
      <c r="J196" s="99">
        <f t="shared" si="16"/>
        <v>0</v>
      </c>
      <c r="K196" s="99">
        <f t="shared" si="17"/>
        <v>-59289500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77</v>
      </c>
      <c r="H197" s="99">
        <f t="shared" si="15"/>
        <v>1</v>
      </c>
      <c r="I197" s="99">
        <f t="shared" si="13"/>
        <v>53200000</v>
      </c>
      <c r="J197" s="99">
        <f t="shared" si="16"/>
        <v>0</v>
      </c>
      <c r="K197" s="99">
        <f t="shared" si="17"/>
        <v>53200000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77</v>
      </c>
      <c r="H198" s="99">
        <f t="shared" si="15"/>
        <v>0</v>
      </c>
      <c r="I198" s="99">
        <f t="shared" si="13"/>
        <v>-7623000</v>
      </c>
      <c r="J198" s="99">
        <f t="shared" si="16"/>
        <v>0</v>
      </c>
      <c r="K198" s="99">
        <f t="shared" si="17"/>
        <v>-7623000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76</v>
      </c>
      <c r="H199" s="99">
        <f t="shared" si="15"/>
        <v>0</v>
      </c>
      <c r="I199" s="99">
        <f t="shared" si="13"/>
        <v>-15637000</v>
      </c>
      <c r="J199" s="99">
        <f t="shared" si="16"/>
        <v>0</v>
      </c>
      <c r="K199" s="99">
        <f t="shared" si="17"/>
        <v>-15637000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76</v>
      </c>
      <c r="H200" s="99">
        <f t="shared" si="15"/>
        <v>0</v>
      </c>
      <c r="I200" s="99">
        <f t="shared" si="13"/>
        <v>-7220000</v>
      </c>
      <c r="J200" s="99">
        <f t="shared" si="16"/>
        <v>0</v>
      </c>
      <c r="K200" s="99">
        <f t="shared" si="17"/>
        <v>-7220000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73</v>
      </c>
      <c r="H201" s="99">
        <f t="shared" si="15"/>
        <v>1</v>
      </c>
      <c r="I201" s="99">
        <f t="shared" si="13"/>
        <v>3502800000</v>
      </c>
      <c r="J201" s="99">
        <f t="shared" si="16"/>
        <v>0</v>
      </c>
      <c r="K201" s="99">
        <f t="shared" si="17"/>
        <v>3502800000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73</v>
      </c>
      <c r="H202" s="99">
        <f t="shared" si="15"/>
        <v>0</v>
      </c>
      <c r="I202" s="99">
        <f t="shared" si="13"/>
        <v>-219065700</v>
      </c>
      <c r="J202" s="99">
        <f t="shared" si="16"/>
        <v>0</v>
      </c>
      <c r="K202" s="99">
        <f t="shared" si="17"/>
        <v>-219065700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73</v>
      </c>
      <c r="H203" s="99">
        <f t="shared" si="15"/>
        <v>0</v>
      </c>
      <c r="I203" s="99">
        <f t="shared" si="13"/>
        <v>-365000</v>
      </c>
      <c r="J203" s="99">
        <f t="shared" si="16"/>
        <v>0</v>
      </c>
      <c r="K203" s="99">
        <f t="shared" si="17"/>
        <v>-365000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73</v>
      </c>
      <c r="H204" s="99">
        <f t="shared" si="15"/>
        <v>0</v>
      </c>
      <c r="I204" s="99">
        <f t="shared" si="13"/>
        <v>-2445500000</v>
      </c>
      <c r="J204" s="99">
        <f t="shared" si="16"/>
        <v>0</v>
      </c>
      <c r="K204" s="99">
        <f t="shared" si="17"/>
        <v>-2445500000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72</v>
      </c>
      <c r="H205" s="99">
        <f t="shared" si="15"/>
        <v>0</v>
      </c>
      <c r="I205" s="99">
        <f t="shared" si="13"/>
        <v>-895320000</v>
      </c>
      <c r="J205" s="99">
        <f t="shared" si="16"/>
        <v>0</v>
      </c>
      <c r="K205" s="99">
        <f t="shared" si="17"/>
        <v>-895320000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69</v>
      </c>
      <c r="H206" s="99">
        <f t="shared" si="15"/>
        <v>0</v>
      </c>
      <c r="I206" s="99">
        <f t="shared" si="13"/>
        <v>-1276500</v>
      </c>
      <c r="J206" s="99">
        <f t="shared" si="16"/>
        <v>0</v>
      </c>
      <c r="K206" s="99">
        <f t="shared" si="17"/>
        <v>-1276500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67</v>
      </c>
      <c r="H207" s="99">
        <f t="shared" si="15"/>
        <v>1</v>
      </c>
      <c r="I207" s="99">
        <f t="shared" si="13"/>
        <v>955680</v>
      </c>
      <c r="J207" s="99">
        <f t="shared" ref="J207:J266" si="20">C207*(G207-H207)</f>
        <v>4677684</v>
      </c>
      <c r="K207" s="99">
        <f t="shared" si="17"/>
        <v>-3722004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66</v>
      </c>
      <c r="H208" s="99">
        <f t="shared" si="15"/>
        <v>1</v>
      </c>
      <c r="I208" s="99">
        <f t="shared" si="13"/>
        <v>53950000</v>
      </c>
      <c r="J208" s="99">
        <f t="shared" si="20"/>
        <v>0</v>
      </c>
      <c r="K208" s="99">
        <f t="shared" si="17"/>
        <v>53950000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64</v>
      </c>
      <c r="H209" s="99">
        <f t="shared" si="15"/>
        <v>0</v>
      </c>
      <c r="I209" s="99">
        <f t="shared" si="13"/>
        <v>-3356160</v>
      </c>
      <c r="J209" s="99">
        <f t="shared" si="20"/>
        <v>0</v>
      </c>
      <c r="K209" s="99">
        <f t="shared" si="17"/>
        <v>-3356160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63</v>
      </c>
      <c r="H210" s="99">
        <f t="shared" si="15"/>
        <v>0</v>
      </c>
      <c r="I210" s="99">
        <f t="shared" si="13"/>
        <v>-3219300</v>
      </c>
      <c r="J210" s="99">
        <f t="shared" si="20"/>
        <v>0</v>
      </c>
      <c r="K210" s="99">
        <f t="shared" si="17"/>
        <v>-3219300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62</v>
      </c>
      <c r="H211" s="99">
        <f t="shared" si="15"/>
        <v>0</v>
      </c>
      <c r="I211" s="99">
        <f t="shared" si="13"/>
        <v>-12400000</v>
      </c>
      <c r="J211" s="99">
        <f t="shared" si="20"/>
        <v>0</v>
      </c>
      <c r="K211" s="99">
        <f t="shared" si="17"/>
        <v>-12400000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61</v>
      </c>
      <c r="H212" s="99">
        <f t="shared" si="15"/>
        <v>0</v>
      </c>
      <c r="I212" s="99">
        <f t="shared" si="13"/>
        <v>-1708000</v>
      </c>
      <c r="J212" s="99">
        <f t="shared" si="20"/>
        <v>0</v>
      </c>
      <c r="K212" s="99">
        <f t="shared" si="17"/>
        <v>-1708000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60</v>
      </c>
      <c r="H213" s="99">
        <f t="shared" si="15"/>
        <v>0</v>
      </c>
      <c r="I213" s="99">
        <f t="shared" si="13"/>
        <v>-3546000</v>
      </c>
      <c r="J213" s="99">
        <f t="shared" si="20"/>
        <v>0</v>
      </c>
      <c r="K213" s="99">
        <f t="shared" si="17"/>
        <v>-3546000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59</v>
      </c>
      <c r="H214" s="99">
        <f t="shared" si="15"/>
        <v>0</v>
      </c>
      <c r="I214" s="99">
        <f t="shared" si="13"/>
        <v>-1770000</v>
      </c>
      <c r="J214" s="99">
        <f t="shared" si="20"/>
        <v>0</v>
      </c>
      <c r="K214" s="99">
        <f t="shared" si="17"/>
        <v>-1770000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59</v>
      </c>
      <c r="H215" s="99">
        <f t="shared" si="15"/>
        <v>0</v>
      </c>
      <c r="I215" s="99">
        <f t="shared" si="13"/>
        <v>-10502000</v>
      </c>
      <c r="J215" s="99">
        <f t="shared" si="20"/>
        <v>0</v>
      </c>
      <c r="K215" s="99">
        <f t="shared" si="17"/>
        <v>-10502000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58</v>
      </c>
      <c r="H216" s="99">
        <f t="shared" si="15"/>
        <v>0</v>
      </c>
      <c r="I216" s="99">
        <f t="shared" si="13"/>
        <v>-5545380</v>
      </c>
      <c r="J216" s="99">
        <f t="shared" si="20"/>
        <v>0</v>
      </c>
      <c r="K216" s="99">
        <f t="shared" si="17"/>
        <v>-5545380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55</v>
      </c>
      <c r="H217" s="99">
        <f t="shared" si="15"/>
        <v>0</v>
      </c>
      <c r="I217" s="99">
        <f t="shared" si="13"/>
        <v>-4620000</v>
      </c>
      <c r="J217" s="99">
        <f t="shared" si="20"/>
        <v>0</v>
      </c>
      <c r="K217" s="99">
        <f t="shared" si="17"/>
        <v>-4620000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53</v>
      </c>
      <c r="H218" s="99">
        <f t="shared" si="15"/>
        <v>0</v>
      </c>
      <c r="I218" s="99">
        <f t="shared" si="13"/>
        <v>-1749000</v>
      </c>
      <c r="J218" s="99">
        <f t="shared" si="20"/>
        <v>0</v>
      </c>
      <c r="K218" s="99">
        <f t="shared" si="17"/>
        <v>-1749000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50</v>
      </c>
      <c r="H219" s="99">
        <f t="shared" si="15"/>
        <v>1</v>
      </c>
      <c r="I219" s="99">
        <f t="shared" si="13"/>
        <v>75852000</v>
      </c>
      <c r="J219" s="99">
        <f t="shared" si="20"/>
        <v>0</v>
      </c>
      <c r="K219" s="99">
        <f t="shared" si="17"/>
        <v>75852000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49</v>
      </c>
      <c r="H220" s="99">
        <f t="shared" si="15"/>
        <v>0</v>
      </c>
      <c r="I220" s="99">
        <f t="shared" si="13"/>
        <v>-68634300</v>
      </c>
      <c r="J220" s="99">
        <f t="shared" si="20"/>
        <v>0</v>
      </c>
      <c r="K220" s="99">
        <f t="shared" si="17"/>
        <v>-68634300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49</v>
      </c>
      <c r="H221" s="99">
        <f t="shared" si="15"/>
        <v>0</v>
      </c>
      <c r="I221" s="99">
        <f t="shared" si="13"/>
        <v>-490000</v>
      </c>
      <c r="J221" s="99">
        <f t="shared" si="20"/>
        <v>0</v>
      </c>
      <c r="K221" s="99">
        <f t="shared" si="17"/>
        <v>-490000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49</v>
      </c>
      <c r="H222" s="99">
        <f t="shared" si="15"/>
        <v>0</v>
      </c>
      <c r="I222" s="99">
        <f t="shared" si="13"/>
        <v>-245000</v>
      </c>
      <c r="J222" s="99">
        <f t="shared" si="20"/>
        <v>-122500</v>
      </c>
      <c r="K222" s="99">
        <f t="shared" si="17"/>
        <v>-122500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43</v>
      </c>
      <c r="H223" s="99">
        <f t="shared" si="15"/>
        <v>0</v>
      </c>
      <c r="I223" s="99">
        <f t="shared" si="13"/>
        <v>-8170000</v>
      </c>
      <c r="J223" s="99">
        <f t="shared" si="20"/>
        <v>0</v>
      </c>
      <c r="K223" s="99">
        <f t="shared" si="17"/>
        <v>-8170000</v>
      </c>
      <c r="M223" t="s">
        <v>25</v>
      </c>
    </row>
    <row r="224" spans="1:13">
      <c r="A224" s="99" t="s">
        <v>4311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36</v>
      </c>
      <c r="H224" s="99">
        <f t="shared" si="15"/>
        <v>1</v>
      </c>
      <c r="I224" s="99">
        <f t="shared" si="13"/>
        <v>66885</v>
      </c>
      <c r="J224" s="99">
        <f t="shared" si="20"/>
        <v>2274020</v>
      </c>
      <c r="K224" s="99">
        <f t="shared" si="17"/>
        <v>-2207135</v>
      </c>
      <c r="M224" t="s">
        <v>25</v>
      </c>
    </row>
    <row r="225" spans="1:13">
      <c r="A225" s="99" t="s">
        <v>4332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30</v>
      </c>
      <c r="H225" s="99">
        <f t="shared" si="15"/>
        <v>1</v>
      </c>
      <c r="I225" s="99">
        <f t="shared" si="13"/>
        <v>145000000</v>
      </c>
      <c r="J225" s="99">
        <f t="shared" si="20"/>
        <v>0</v>
      </c>
      <c r="K225" s="99">
        <f t="shared" si="17"/>
        <v>145000000</v>
      </c>
    </row>
    <row r="226" spans="1:13">
      <c r="A226" s="99" t="s">
        <v>4338</v>
      </c>
      <c r="B226" s="18">
        <v>-3200000</v>
      </c>
      <c r="C226" s="18">
        <v>0</v>
      </c>
      <c r="D226" s="18">
        <f t="shared" si="18"/>
        <v>-3200000</v>
      </c>
      <c r="E226" s="99" t="s">
        <v>4352</v>
      </c>
      <c r="F226" s="99">
        <v>0</v>
      </c>
      <c r="G226" s="36">
        <f t="shared" si="21"/>
        <v>29</v>
      </c>
      <c r="H226" s="99">
        <f t="shared" si="15"/>
        <v>0</v>
      </c>
      <c r="I226" s="99">
        <f t="shared" si="13"/>
        <v>-92800000</v>
      </c>
      <c r="J226" s="99">
        <f t="shared" si="20"/>
        <v>0</v>
      </c>
      <c r="K226" s="99">
        <f t="shared" si="17"/>
        <v>-92800000</v>
      </c>
    </row>
    <row r="227" spans="1:13">
      <c r="A227" s="99" t="s">
        <v>4338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29</v>
      </c>
      <c r="H227" s="99">
        <f t="shared" si="15"/>
        <v>1</v>
      </c>
      <c r="I227" s="99">
        <f t="shared" si="13"/>
        <v>67200000</v>
      </c>
      <c r="J227" s="99">
        <f t="shared" si="20"/>
        <v>0</v>
      </c>
      <c r="K227" s="99">
        <f t="shared" si="17"/>
        <v>67200000</v>
      </c>
    </row>
    <row r="228" spans="1:13">
      <c r="A228" s="99" t="s">
        <v>4369</v>
      </c>
      <c r="B228" s="18">
        <v>-50000</v>
      </c>
      <c r="C228" s="18">
        <v>0</v>
      </c>
      <c r="D228" s="18">
        <f t="shared" si="18"/>
        <v>-50000</v>
      </c>
      <c r="E228" s="99" t="s">
        <v>4373</v>
      </c>
      <c r="F228" s="99">
        <v>1</v>
      </c>
      <c r="G228" s="36">
        <f t="shared" si="21"/>
        <v>27</v>
      </c>
      <c r="H228" s="99">
        <f t="shared" si="15"/>
        <v>0</v>
      </c>
      <c r="I228" s="99">
        <f t="shared" si="13"/>
        <v>-1350000</v>
      </c>
      <c r="J228" s="99">
        <f t="shared" si="20"/>
        <v>0</v>
      </c>
      <c r="K228" s="99">
        <f t="shared" si="17"/>
        <v>-1350000</v>
      </c>
    </row>
    <row r="229" spans="1:13">
      <c r="A229" s="99" t="s">
        <v>4362</v>
      </c>
      <c r="B229" s="18">
        <v>-4100700</v>
      </c>
      <c r="C229" s="18">
        <v>0</v>
      </c>
      <c r="D229" s="18">
        <f t="shared" si="18"/>
        <v>-4100700</v>
      </c>
      <c r="E229" s="99" t="s">
        <v>4374</v>
      </c>
      <c r="F229" s="99">
        <v>4</v>
      </c>
      <c r="G229" s="36">
        <f t="shared" si="21"/>
        <v>26</v>
      </c>
      <c r="H229" s="99">
        <f t="shared" si="15"/>
        <v>0</v>
      </c>
      <c r="I229" s="99">
        <f t="shared" si="13"/>
        <v>-106618200</v>
      </c>
      <c r="J229" s="99">
        <f t="shared" si="20"/>
        <v>0</v>
      </c>
      <c r="K229" s="99">
        <f t="shared" si="17"/>
        <v>-106618200</v>
      </c>
    </row>
    <row r="230" spans="1:13">
      <c r="A230" s="99" t="s">
        <v>4383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22</v>
      </c>
      <c r="H230" s="99">
        <f t="shared" si="15"/>
        <v>1</v>
      </c>
      <c r="I230" s="99">
        <f t="shared" si="13"/>
        <v>203700000</v>
      </c>
      <c r="J230" s="99">
        <f t="shared" si="20"/>
        <v>0</v>
      </c>
      <c r="K230" s="99">
        <f t="shared" si="17"/>
        <v>203700000</v>
      </c>
    </row>
    <row r="231" spans="1:13">
      <c r="A231" s="99" t="s">
        <v>4383</v>
      </c>
      <c r="B231" s="18">
        <v>-3000900</v>
      </c>
      <c r="C231" s="18">
        <v>0</v>
      </c>
      <c r="D231" s="18">
        <f t="shared" si="18"/>
        <v>-3000900</v>
      </c>
      <c r="E231" s="99" t="s">
        <v>4391</v>
      </c>
      <c r="F231" s="99">
        <v>1</v>
      </c>
      <c r="G231" s="36">
        <f t="shared" si="21"/>
        <v>22</v>
      </c>
      <c r="H231" s="99">
        <f t="shared" si="15"/>
        <v>0</v>
      </c>
      <c r="I231" s="99">
        <f t="shared" si="13"/>
        <v>-66019800</v>
      </c>
      <c r="J231" s="99">
        <f t="shared" si="20"/>
        <v>0</v>
      </c>
      <c r="K231" s="99">
        <f t="shared" si="17"/>
        <v>-66019800</v>
      </c>
    </row>
    <row r="232" spans="1:13">
      <c r="A232" s="99" t="s">
        <v>4384</v>
      </c>
      <c r="B232" s="18">
        <v>-3000900</v>
      </c>
      <c r="C232" s="18">
        <v>0</v>
      </c>
      <c r="D232" s="18">
        <f t="shared" si="18"/>
        <v>-3000900</v>
      </c>
      <c r="E232" s="99" t="s">
        <v>4391</v>
      </c>
      <c r="F232" s="99">
        <v>0</v>
      </c>
      <c r="G232" s="36">
        <f t="shared" si="21"/>
        <v>21</v>
      </c>
      <c r="H232" s="99">
        <f t="shared" si="15"/>
        <v>0</v>
      </c>
      <c r="I232" s="99">
        <f t="shared" si="13"/>
        <v>-63018900</v>
      </c>
      <c r="J232" s="99">
        <f t="shared" si="20"/>
        <v>0</v>
      </c>
      <c r="K232" s="99">
        <f t="shared" si="17"/>
        <v>-63018900</v>
      </c>
    </row>
    <row r="233" spans="1:13">
      <c r="A233" s="99" t="s">
        <v>4384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21</v>
      </c>
      <c r="H233" s="99">
        <f t="shared" si="15"/>
        <v>0</v>
      </c>
      <c r="I233" s="99">
        <f t="shared" si="13"/>
        <v>-11655000</v>
      </c>
      <c r="J233" s="99">
        <f t="shared" si="20"/>
        <v>0</v>
      </c>
      <c r="K233" s="99">
        <f t="shared" si="17"/>
        <v>-11655000</v>
      </c>
    </row>
    <row r="234" spans="1:13">
      <c r="A234" s="99" t="s">
        <v>4403</v>
      </c>
      <c r="B234" s="18">
        <v>-138360</v>
      </c>
      <c r="C234" s="18">
        <v>0</v>
      </c>
      <c r="D234" s="18">
        <f t="shared" si="18"/>
        <v>-138360</v>
      </c>
      <c r="E234" s="99" t="s">
        <v>4405</v>
      </c>
      <c r="F234" s="99">
        <v>1</v>
      </c>
      <c r="G234" s="36">
        <f t="shared" si="21"/>
        <v>20</v>
      </c>
      <c r="H234" s="99">
        <f t="shared" si="15"/>
        <v>0</v>
      </c>
      <c r="I234" s="99">
        <f t="shared" si="13"/>
        <v>-2767200</v>
      </c>
      <c r="J234" s="99">
        <f t="shared" si="20"/>
        <v>0</v>
      </c>
      <c r="K234" s="99">
        <f t="shared" si="17"/>
        <v>-2767200</v>
      </c>
    </row>
    <row r="235" spans="1:13">
      <c r="A235" s="99" t="s">
        <v>4406</v>
      </c>
      <c r="B235" s="18">
        <v>-3000900</v>
      </c>
      <c r="C235" s="18">
        <v>0</v>
      </c>
      <c r="D235" s="18">
        <f t="shared" si="18"/>
        <v>-3000900</v>
      </c>
      <c r="E235" s="99" t="s">
        <v>4391</v>
      </c>
      <c r="F235" s="99">
        <v>2</v>
      </c>
      <c r="G235" s="36">
        <f t="shared" si="21"/>
        <v>19</v>
      </c>
      <c r="H235" s="99">
        <f t="shared" si="15"/>
        <v>0</v>
      </c>
      <c r="I235" s="99">
        <f t="shared" si="13"/>
        <v>-57017100</v>
      </c>
      <c r="J235" s="99">
        <f t="shared" si="20"/>
        <v>0</v>
      </c>
      <c r="K235" s="99">
        <f t="shared" si="17"/>
        <v>-57017100</v>
      </c>
      <c r="M235" t="s">
        <v>25</v>
      </c>
    </row>
    <row r="236" spans="1:13">
      <c r="A236" s="99" t="s">
        <v>4413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17</v>
      </c>
      <c r="H236" s="99">
        <f t="shared" si="15"/>
        <v>0</v>
      </c>
      <c r="I236" s="99">
        <f t="shared" si="13"/>
        <v>-935000</v>
      </c>
      <c r="J236" s="99">
        <f t="shared" si="20"/>
        <v>0</v>
      </c>
      <c r="K236" s="99">
        <f t="shared" si="17"/>
        <v>-935000</v>
      </c>
    </row>
    <row r="237" spans="1:13">
      <c r="A237" s="99" t="s">
        <v>4432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13</v>
      </c>
      <c r="H237" s="99">
        <f t="shared" si="15"/>
        <v>1</v>
      </c>
      <c r="I237" s="99">
        <f t="shared" si="13"/>
        <v>72420000</v>
      </c>
      <c r="J237" s="99">
        <f t="shared" si="20"/>
        <v>0</v>
      </c>
      <c r="K237" s="99">
        <f t="shared" si="17"/>
        <v>72420000</v>
      </c>
    </row>
    <row r="238" spans="1:13">
      <c r="A238" s="99" t="s">
        <v>4439</v>
      </c>
      <c r="B238" s="18">
        <v>-7500</v>
      </c>
      <c r="C238" s="18">
        <v>0</v>
      </c>
      <c r="D238" s="18">
        <f t="shared" si="18"/>
        <v>-7500</v>
      </c>
      <c r="E238" s="99" t="s">
        <v>4440</v>
      </c>
      <c r="F238" s="99">
        <v>1</v>
      </c>
      <c r="G238" s="36">
        <f t="shared" si="21"/>
        <v>11</v>
      </c>
      <c r="H238" s="99">
        <f t="shared" si="15"/>
        <v>0</v>
      </c>
      <c r="I238" s="99">
        <f t="shared" si="13"/>
        <v>-82500</v>
      </c>
      <c r="J238" s="99">
        <f t="shared" si="20"/>
        <v>0</v>
      </c>
      <c r="K238" s="99">
        <f t="shared" si="17"/>
        <v>-82500</v>
      </c>
    </row>
    <row r="239" spans="1:13">
      <c r="A239" s="99" t="s">
        <v>4441</v>
      </c>
      <c r="B239" s="18">
        <v>-4098523</v>
      </c>
      <c r="C239" s="18">
        <v>0</v>
      </c>
      <c r="D239" s="18">
        <f t="shared" si="18"/>
        <v>-4098523</v>
      </c>
      <c r="E239" s="99" t="s">
        <v>4442</v>
      </c>
      <c r="F239" s="99">
        <v>0</v>
      </c>
      <c r="G239" s="36">
        <f t="shared" si="21"/>
        <v>10</v>
      </c>
      <c r="H239" s="99">
        <f t="shared" si="15"/>
        <v>0</v>
      </c>
      <c r="I239" s="99">
        <f t="shared" si="13"/>
        <v>-40985230</v>
      </c>
      <c r="J239" s="99">
        <f t="shared" si="20"/>
        <v>0</v>
      </c>
      <c r="K239" s="99">
        <f t="shared" si="17"/>
        <v>-40985230</v>
      </c>
    </row>
    <row r="240" spans="1:13">
      <c r="A240" s="99" t="s">
        <v>4443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10</v>
      </c>
      <c r="H240" s="99">
        <f t="shared" si="15"/>
        <v>0</v>
      </c>
      <c r="I240" s="99">
        <f t="shared" si="13"/>
        <v>-332250</v>
      </c>
      <c r="J240" s="99">
        <f t="shared" si="20"/>
        <v>0</v>
      </c>
      <c r="K240" s="99">
        <f t="shared" si="17"/>
        <v>-332250</v>
      </c>
    </row>
    <row r="241" spans="1:13">
      <c r="A241" s="99" t="s">
        <v>4443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7</v>
      </c>
      <c r="G241" s="36">
        <f t="shared" si="21"/>
        <v>10</v>
      </c>
      <c r="H241" s="99">
        <f t="shared" si="15"/>
        <v>0</v>
      </c>
      <c r="I241" s="99">
        <f t="shared" si="13"/>
        <v>-18950000</v>
      </c>
      <c r="J241" s="99">
        <f t="shared" si="20"/>
        <v>0</v>
      </c>
      <c r="K241" s="99">
        <f t="shared" si="17"/>
        <v>-18950000</v>
      </c>
    </row>
    <row r="242" spans="1:13">
      <c r="A242" s="99" t="s">
        <v>4495</v>
      </c>
      <c r="B242" s="18">
        <v>2500000</v>
      </c>
      <c r="C242" s="18">
        <v>0</v>
      </c>
      <c r="D242" s="18">
        <f t="shared" si="18"/>
        <v>2500000</v>
      </c>
      <c r="E242" s="99" t="s">
        <v>3895</v>
      </c>
      <c r="F242" s="99">
        <v>2</v>
      </c>
      <c r="G242" s="36">
        <f t="shared" si="21"/>
        <v>3</v>
      </c>
      <c r="H242" s="99">
        <f t="shared" si="15"/>
        <v>1</v>
      </c>
      <c r="I242" s="99">
        <f t="shared" si="13"/>
        <v>5000000</v>
      </c>
      <c r="J242" s="99">
        <f t="shared" si="20"/>
        <v>0</v>
      </c>
      <c r="K242" s="99">
        <f t="shared" si="17"/>
        <v>5000000</v>
      </c>
    </row>
    <row r="243" spans="1:13">
      <c r="A243" s="99" t="s">
        <v>4508</v>
      </c>
      <c r="B243" s="18">
        <v>-2500000</v>
      </c>
      <c r="C243" s="18">
        <v>0</v>
      </c>
      <c r="D243" s="18">
        <f t="shared" si="18"/>
        <v>-2500000</v>
      </c>
      <c r="E243" s="99" t="s">
        <v>3773</v>
      </c>
      <c r="F243" s="99">
        <v>1</v>
      </c>
      <c r="G243" s="36">
        <f t="shared" si="21"/>
        <v>1</v>
      </c>
      <c r="H243" s="99">
        <f t="shared" si="15"/>
        <v>0</v>
      </c>
      <c r="I243" s="99">
        <f t="shared" si="13"/>
        <v>-2500000</v>
      </c>
      <c r="J243" s="99">
        <f t="shared" si="20"/>
        <v>0</v>
      </c>
      <c r="K243" s="99">
        <f t="shared" si="17"/>
        <v>-2500000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18810070401</v>
      </c>
      <c r="J267" s="29">
        <f>SUM(J2:J266)</f>
        <v>8584091172</v>
      </c>
      <c r="K267" s="29">
        <f>SUM(K2:K266)</f>
        <v>10225979229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19573434.340270553</v>
      </c>
      <c r="J270" s="29">
        <f>J267/G2</f>
        <v>8932456.9947970863</v>
      </c>
      <c r="K270" s="29">
        <f>K267/G2</f>
        <v>10640977.345473465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661121.31849600049</v>
      </c>
      <c r="K274">
        <f>K267/I267*1448696</f>
        <v>787574.68150399951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4311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4291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4303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4310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4314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4311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4332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4338</v>
      </c>
      <c r="B4" s="18">
        <v>-3200000</v>
      </c>
      <c r="C4" s="18">
        <v>0</v>
      </c>
      <c r="D4" s="113">
        <f t="shared" si="0"/>
        <v>-3200000</v>
      </c>
      <c r="E4" s="99" t="s">
        <v>4351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4338</v>
      </c>
      <c r="B5" s="18">
        <v>2400000</v>
      </c>
      <c r="C5" s="18">
        <v>0</v>
      </c>
      <c r="D5" s="113">
        <f t="shared" si="0"/>
        <v>2400000</v>
      </c>
      <c r="E5" s="20" t="s">
        <v>4354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4362</v>
      </c>
      <c r="B6" s="18">
        <v>-2000700</v>
      </c>
      <c r="C6" s="18">
        <v>0</v>
      </c>
      <c r="D6" s="113">
        <f t="shared" si="0"/>
        <v>-2000700</v>
      </c>
      <c r="E6" s="19" t="s">
        <v>4363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4362</v>
      </c>
      <c r="B7" s="18">
        <v>-200000</v>
      </c>
      <c r="C7" s="18">
        <v>0</v>
      </c>
      <c r="D7" s="113">
        <f t="shared" si="0"/>
        <v>-200000</v>
      </c>
      <c r="E7" s="19" t="s">
        <v>4364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4362</v>
      </c>
      <c r="B8" s="18">
        <v>-1900000</v>
      </c>
      <c r="C8" s="18">
        <v>0</v>
      </c>
      <c r="D8" s="113">
        <f t="shared" si="0"/>
        <v>-1900000</v>
      </c>
      <c r="E8" s="19" t="s">
        <v>4365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4369</v>
      </c>
      <c r="B9" s="18">
        <v>-50000</v>
      </c>
      <c r="C9" s="18">
        <v>0</v>
      </c>
      <c r="D9" s="113">
        <f t="shared" si="0"/>
        <v>-50000</v>
      </c>
      <c r="E9" s="21" t="s">
        <v>4370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4383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4383</v>
      </c>
      <c r="B11" s="18">
        <v>-3000900</v>
      </c>
      <c r="C11" s="18">
        <v>0</v>
      </c>
      <c r="D11" s="113">
        <f t="shared" si="0"/>
        <v>-3000900</v>
      </c>
      <c r="E11" s="19" t="s">
        <v>4391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4384</v>
      </c>
      <c r="B12" s="18">
        <v>-3000900</v>
      </c>
      <c r="C12" s="18">
        <v>0</v>
      </c>
      <c r="D12" s="113">
        <f t="shared" si="0"/>
        <v>-3000900</v>
      </c>
      <c r="E12" s="20" t="s">
        <v>4391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4384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4403</v>
      </c>
      <c r="B14" s="18">
        <v>-138360</v>
      </c>
      <c r="C14" s="18">
        <v>0</v>
      </c>
      <c r="D14" s="113">
        <f t="shared" si="0"/>
        <v>-138360</v>
      </c>
      <c r="E14" s="20" t="s">
        <v>4404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4406</v>
      </c>
      <c r="B15" s="18">
        <v>-3000900</v>
      </c>
      <c r="C15" s="18">
        <v>0</v>
      </c>
      <c r="D15" s="117">
        <f t="shared" si="0"/>
        <v>-3000900</v>
      </c>
      <c r="E15" s="20" t="s">
        <v>4391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4413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4432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4443</v>
      </c>
      <c r="B18" s="18">
        <v>-4098523</v>
      </c>
      <c r="C18" s="18">
        <v>0</v>
      </c>
      <c r="D18" s="113">
        <f t="shared" si="0"/>
        <v>-4098523</v>
      </c>
      <c r="E18" s="20" t="s">
        <v>4442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4443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4443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4439</v>
      </c>
      <c r="B21" s="18">
        <v>-7500</v>
      </c>
      <c r="C21" s="18">
        <v>0</v>
      </c>
      <c r="D21" s="113">
        <f t="shared" si="0"/>
        <v>-7500</v>
      </c>
      <c r="E21" s="19" t="s">
        <v>4440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4490</v>
      </c>
      <c r="B22" s="18">
        <v>7964</v>
      </c>
      <c r="C22" s="18">
        <v>65497</v>
      </c>
      <c r="D22" s="113">
        <f t="shared" si="0"/>
        <v>-57533</v>
      </c>
      <c r="E22" s="19" t="s">
        <v>4491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4316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4315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4317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4318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4321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4324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4325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4329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4330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4331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4333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4334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4335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4342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4350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4355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4371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4368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4366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4372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4375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4380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4387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4388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4389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4390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4387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4392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4397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4398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4402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4407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4409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4412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4415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4416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4417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4418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4420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4418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4422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4424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4426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4427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4428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4431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4433</v>
      </c>
    </row>
    <row r="82" spans="4:5">
      <c r="D82" s="114">
        <v>-142143</v>
      </c>
      <c r="E82" s="54" t="s">
        <v>4437</v>
      </c>
    </row>
    <row r="83" spans="4:5">
      <c r="D83" s="114">
        <v>-128352</v>
      </c>
      <c r="E83" s="54" t="s">
        <v>4436</v>
      </c>
    </row>
    <row r="84" spans="4:5">
      <c r="D84" s="114">
        <v>-6035000</v>
      </c>
      <c r="E84" s="54" t="s">
        <v>4446</v>
      </c>
    </row>
    <row r="85" spans="4:5">
      <c r="D85" s="114">
        <v>-55957</v>
      </c>
      <c r="E85" s="54" t="s">
        <v>4445</v>
      </c>
    </row>
    <row r="86" spans="4:5">
      <c r="D86" s="114">
        <v>7500</v>
      </c>
      <c r="E86" s="54" t="s">
        <v>4444</v>
      </c>
    </row>
    <row r="87" spans="4:5">
      <c r="D87" s="114">
        <v>1700000</v>
      </c>
      <c r="E87" s="54" t="s">
        <v>4447</v>
      </c>
    </row>
    <row r="88" spans="4:5">
      <c r="D88" s="114">
        <v>129648</v>
      </c>
      <c r="E88" s="54" t="s">
        <v>4448</v>
      </c>
    </row>
    <row r="89" spans="4:5">
      <c r="D89" s="114">
        <v>1000000</v>
      </c>
      <c r="E89" s="54" t="s">
        <v>4454</v>
      </c>
    </row>
    <row r="90" spans="4:5">
      <c r="D90" s="114">
        <v>-53003</v>
      </c>
      <c r="E90" s="54" t="s">
        <v>4455</v>
      </c>
    </row>
    <row r="91" spans="4:5">
      <c r="D91" s="114">
        <v>-23690</v>
      </c>
      <c r="E91" s="54" t="s">
        <v>4455</v>
      </c>
    </row>
    <row r="92" spans="4:5">
      <c r="D92" s="114">
        <v>-216910</v>
      </c>
      <c r="E92" s="54" t="s">
        <v>4458</v>
      </c>
    </row>
    <row r="93" spans="4:5">
      <c r="D93" s="114">
        <v>-30304</v>
      </c>
      <c r="E93" s="54" t="s">
        <v>4462</v>
      </c>
    </row>
    <row r="94" spans="4:5">
      <c r="D94" s="114">
        <v>-10067</v>
      </c>
      <c r="E94" s="54" t="s">
        <v>4463</v>
      </c>
    </row>
    <row r="95" spans="4:5">
      <c r="D95" s="114">
        <v>-16248</v>
      </c>
      <c r="E95" s="54" t="s">
        <v>4465</v>
      </c>
    </row>
    <row r="96" spans="4:5">
      <c r="D96" s="114">
        <v>-87695</v>
      </c>
      <c r="E96" s="54" t="s">
        <v>4468</v>
      </c>
    </row>
    <row r="97" spans="4:7">
      <c r="D97" s="114">
        <v>-29231</v>
      </c>
      <c r="E97" s="54" t="s">
        <v>4469</v>
      </c>
    </row>
    <row r="98" spans="4:7">
      <c r="D98" s="114">
        <v>1000000</v>
      </c>
      <c r="E98" s="54" t="s">
        <v>4471</v>
      </c>
    </row>
    <row r="99" spans="4:7">
      <c r="D99" s="114">
        <v>-35250</v>
      </c>
      <c r="E99" s="54" t="s">
        <v>4472</v>
      </c>
    </row>
    <row r="100" spans="4:7">
      <c r="D100" s="114">
        <v>-57477</v>
      </c>
      <c r="E100" s="54" t="s">
        <v>4473</v>
      </c>
    </row>
    <row r="101" spans="4:7">
      <c r="D101" s="114">
        <v>-13565</v>
      </c>
      <c r="E101" s="54" t="s">
        <v>4474</v>
      </c>
    </row>
    <row r="102" spans="4:7">
      <c r="D102" s="114">
        <v>-9429</v>
      </c>
      <c r="E102" s="54" t="s">
        <v>4479</v>
      </c>
    </row>
    <row r="103" spans="4:7">
      <c r="D103" s="114">
        <v>-600000</v>
      </c>
      <c r="E103" s="54" t="s">
        <v>4481</v>
      </c>
    </row>
    <row r="104" spans="4:7">
      <c r="D104" s="114">
        <v>335</v>
      </c>
      <c r="E104" s="54" t="s">
        <v>4484</v>
      </c>
    </row>
    <row r="105" spans="4:7">
      <c r="D105" s="114">
        <v>31026</v>
      </c>
      <c r="E105" s="54" t="s">
        <v>4485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7" t="s">
        <v>4231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4240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985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994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987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999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990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992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4233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4242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4237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4245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3" t="s">
        <v>4385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3" t="s">
        <v>4386</v>
      </c>
      <c r="N22" s="193">
        <f>547-$AD$19</f>
        <v>318</v>
      </c>
      <c r="O22" s="193">
        <v>0</v>
      </c>
      <c r="P22" s="193">
        <v>0</v>
      </c>
      <c r="Q22" s="193">
        <v>0</v>
      </c>
      <c r="R22" s="193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4299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4300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1004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1005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996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997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G24" sqref="G24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1223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3746990.684887459</v>
      </c>
      <c r="C8" s="99">
        <f>B2*B4*B5/(B1*B3)+B7/B6</f>
        <v>288.23005268365068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4050000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303009.31511254096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4" t="s">
        <v>1090</v>
      </c>
      <c r="R21" s="204"/>
      <c r="S21" s="204"/>
      <c r="T21" s="204"/>
      <c r="U21" s="96"/>
      <c r="V21" s="96"/>
      <c r="W21" s="96"/>
      <c r="X21" s="96"/>
      <c r="Y21" s="96"/>
      <c r="Z21" s="96"/>
    </row>
    <row r="22" spans="5:35">
      <c r="O22" s="99"/>
      <c r="P22" s="99"/>
      <c r="Q22" s="204"/>
      <c r="R22" s="204"/>
      <c r="S22" s="204"/>
      <c r="T22" s="204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205" t="s">
        <v>1091</v>
      </c>
      <c r="R23" s="206" t="s">
        <v>1092</v>
      </c>
      <c r="S23" s="205" t="s">
        <v>1093</v>
      </c>
      <c r="T23" s="207" t="s">
        <v>1094</v>
      </c>
      <c r="AD23" t="s">
        <v>25</v>
      </c>
    </row>
    <row r="24" spans="5:35">
      <c r="O24" s="99"/>
      <c r="P24" s="99"/>
      <c r="Q24" s="205"/>
      <c r="R24" s="206"/>
      <c r="S24" s="205"/>
      <c r="T24" s="207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4393</v>
      </c>
      <c r="L21" s="33" t="s">
        <v>4395</v>
      </c>
      <c r="M21" s="96" t="s">
        <v>4394</v>
      </c>
      <c r="N21" s="194" t="s">
        <v>4396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4356</v>
      </c>
      <c r="L23">
        <v>9149046982</v>
      </c>
      <c r="M23" t="s">
        <v>4357</v>
      </c>
      <c r="N23" t="s">
        <v>4358</v>
      </c>
      <c r="O23" t="s">
        <v>4359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4360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4361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6"/>
  <sheetViews>
    <sheetView tabSelected="1" topLeftCell="N52" zoomScaleNormal="100" workbookViewId="0">
      <selection activeCell="T42" sqref="T4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-L87*12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4377</v>
      </c>
      <c r="AS9" s="99" t="s">
        <v>4378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4400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4379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4000000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169" t="s">
        <v>4320</v>
      </c>
      <c r="R18" s="169" t="s">
        <v>25</v>
      </c>
      <c r="S18" s="169"/>
      <c r="T18" s="113"/>
      <c r="U18" s="169" t="s">
        <v>4399</v>
      </c>
      <c r="V18" s="73" t="s">
        <v>4401</v>
      </c>
      <c r="W18" s="32">
        <v>2</v>
      </c>
      <c r="X18" s="32">
        <v>4</v>
      </c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-'آذر 97'!D56</f>
        <v>61509815</v>
      </c>
      <c r="M19" s="169" t="s">
        <v>4328</v>
      </c>
      <c r="N19" s="113">
        <f t="shared" ref="N19:N27" si="4">O19*P19</f>
        <v>11285053.5</v>
      </c>
      <c r="O19" s="99">
        <v>64745</v>
      </c>
      <c r="P19" s="192">
        <f>P41</f>
        <v>174.3</v>
      </c>
      <c r="Q19" s="169" t="s">
        <v>267</v>
      </c>
      <c r="R19" s="169" t="s">
        <v>180</v>
      </c>
      <c r="S19" s="169" t="s">
        <v>183</v>
      </c>
      <c r="T19" s="169" t="s">
        <v>8</v>
      </c>
      <c r="U19" s="169"/>
      <c r="V19" s="169"/>
      <c r="W19" s="32"/>
      <c r="X19" s="20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4341</v>
      </c>
      <c r="N20" s="113">
        <f t="shared" si="4"/>
        <v>9444777.5999999996</v>
      </c>
      <c r="O20" s="99">
        <v>33504</v>
      </c>
      <c r="P20" s="192">
        <f>P44</f>
        <v>281.89999999999998</v>
      </c>
      <c r="Q20" s="170">
        <v>9268987</v>
      </c>
      <c r="R20" s="169" t="s">
        <v>4181</v>
      </c>
      <c r="S20" s="198">
        <f>S44</f>
        <v>66</v>
      </c>
      <c r="T20" s="169" t="s">
        <v>4336</v>
      </c>
      <c r="U20" s="169">
        <v>192.1</v>
      </c>
      <c r="V20" s="169">
        <f>U20*(1+$R$79+$Q$15*S20/36500)</f>
        <v>203.97756931506851</v>
      </c>
      <c r="W20" s="32">
        <f>V20*(1+$W$18/100)</f>
        <v>208.05712070136988</v>
      </c>
      <c r="X20" s="32">
        <f>V20*(1+$X$18/100)</f>
        <v>212.13667208767126</v>
      </c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240</v>
      </c>
      <c r="AL20" s="113">
        <f>AI20*AK20</f>
        <v>4320000000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4216</v>
      </c>
      <c r="J21" s="25"/>
      <c r="K21" s="169" t="s">
        <v>456</v>
      </c>
      <c r="L21" s="117">
        <v>5050000</v>
      </c>
      <c r="M21" s="169" t="s">
        <v>4514</v>
      </c>
      <c r="N21" s="113">
        <f t="shared" si="4"/>
        <v>152817</v>
      </c>
      <c r="O21" s="99">
        <v>399</v>
      </c>
      <c r="P21" s="192">
        <f>P43</f>
        <v>383</v>
      </c>
      <c r="Q21" s="170">
        <v>1450345</v>
      </c>
      <c r="R21" s="169" t="s">
        <v>4332</v>
      </c>
      <c r="S21" s="198">
        <f>S20-36</f>
        <v>30</v>
      </c>
      <c r="T21" s="169" t="s">
        <v>4337</v>
      </c>
      <c r="U21" s="169">
        <v>313.7</v>
      </c>
      <c r="V21" s="169">
        <f>U21*(1+$R$79+$Q$15*S21/36500)</f>
        <v>324.43283726027403</v>
      </c>
      <c r="W21" s="32">
        <f t="shared" ref="W21:W65" si="5">V21*(1+$W$18/100)</f>
        <v>330.92149400547953</v>
      </c>
      <c r="X21" s="32">
        <f t="shared" ref="X21:X33" si="6">V21*(1+$X$18/100)</f>
        <v>337.41015075068498</v>
      </c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7">AK22+AJ21</f>
        <v>239</v>
      </c>
      <c r="AL21" s="113">
        <f t="shared" ref="AL21:AL96" si="8">AI21*AK21</f>
        <v>597500000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L56</f>
        <v>279405331</v>
      </c>
      <c r="G22" s="95">
        <f t="shared" si="0"/>
        <v>-11430918.283806711</v>
      </c>
      <c r="H22" s="11"/>
      <c r="I22" s="96"/>
      <c r="J22" s="96"/>
      <c r="K22" s="169"/>
      <c r="L22" s="117"/>
      <c r="M22" s="169" t="s">
        <v>4434</v>
      </c>
      <c r="N22" s="113">
        <f t="shared" si="4"/>
        <v>3887037</v>
      </c>
      <c r="O22" s="99">
        <v>781</v>
      </c>
      <c r="P22" s="99">
        <f>P45</f>
        <v>4977</v>
      </c>
      <c r="Q22" s="170">
        <v>400069</v>
      </c>
      <c r="R22" s="169" t="s">
        <v>4338</v>
      </c>
      <c r="S22" s="198">
        <f>S21-1</f>
        <v>29</v>
      </c>
      <c r="T22" s="169" t="s">
        <v>4339</v>
      </c>
      <c r="U22" s="169">
        <v>314.8</v>
      </c>
      <c r="V22" s="169">
        <f>U22*(1+$R$79+$Q$15*S22/36500)</f>
        <v>325.32898191780822</v>
      </c>
      <c r="W22" s="32">
        <f t="shared" si="5"/>
        <v>331.83556155616441</v>
      </c>
      <c r="X22" s="32">
        <f t="shared" si="6"/>
        <v>338.34214119452054</v>
      </c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7"/>
        <v>238</v>
      </c>
      <c r="AL22" s="113">
        <f t="shared" si="8"/>
        <v>1904000000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/>
      <c r="L23" s="117"/>
      <c r="M23" s="169"/>
      <c r="N23" s="113"/>
      <c r="O23" s="69"/>
      <c r="P23" s="99"/>
      <c r="Q23" s="170">
        <v>8690518</v>
      </c>
      <c r="R23" s="169" t="s">
        <v>4338</v>
      </c>
      <c r="S23" s="198">
        <f>S22</f>
        <v>29</v>
      </c>
      <c r="T23" s="169" t="s">
        <v>4340</v>
      </c>
      <c r="U23" s="169">
        <v>313</v>
      </c>
      <c r="V23" s="169">
        <f>U23*(1+$R$79+$Q$15*S23/36500)</f>
        <v>323.46877808219176</v>
      </c>
      <c r="W23" s="32">
        <f t="shared" si="5"/>
        <v>329.93815364383562</v>
      </c>
      <c r="X23" s="32">
        <f t="shared" si="6"/>
        <v>336.40752920547942</v>
      </c>
      <c r="Y23" s="96"/>
      <c r="Z23" s="96"/>
      <c r="AA23" s="96"/>
      <c r="AB23" s="96"/>
      <c r="AC23" s="96"/>
      <c r="AD23" s="96"/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7"/>
        <v>237</v>
      </c>
      <c r="AL23" s="113">
        <f t="shared" si="8"/>
        <v>-18853824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96" t="s">
        <v>4501</v>
      </c>
      <c r="N24" s="113">
        <f t="shared" si="4"/>
        <v>986712.3</v>
      </c>
      <c r="O24" s="69">
        <v>5661</v>
      </c>
      <c r="P24" s="99">
        <f>P41</f>
        <v>174.3</v>
      </c>
      <c r="Q24" s="170">
        <v>595156</v>
      </c>
      <c r="R24" s="169" t="s">
        <v>4432</v>
      </c>
      <c r="S24" s="199">
        <f>S23-16</f>
        <v>13</v>
      </c>
      <c r="T24" s="169" t="s">
        <v>4435</v>
      </c>
      <c r="U24" s="169">
        <v>5808.5</v>
      </c>
      <c r="V24" s="169">
        <f>U24*(1+$R$79+$Q$15*S24/36500)</f>
        <v>5931.481063013699</v>
      </c>
      <c r="W24" s="32">
        <f t="shared" si="5"/>
        <v>6050.1106842739728</v>
      </c>
      <c r="X24" s="32">
        <f t="shared" si="6"/>
        <v>6168.7403055342475</v>
      </c>
      <c r="Y24" s="96"/>
      <c r="Z24" s="96"/>
      <c r="AA24" s="96"/>
      <c r="AB24" s="96"/>
      <c r="AC24" s="96"/>
      <c r="AD24" s="96"/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7"/>
        <v>236</v>
      </c>
      <c r="AL24" s="113">
        <f t="shared" si="8"/>
        <v>39058000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6" t="s">
        <v>4477</v>
      </c>
      <c r="N25" s="113">
        <f t="shared" si="4"/>
        <v>1681034.8</v>
      </c>
      <c r="O25" s="36">
        <v>9146</v>
      </c>
      <c r="P25" s="99">
        <f>P47</f>
        <v>183.8</v>
      </c>
      <c r="Q25" s="170">
        <v>142593</v>
      </c>
      <c r="R25" s="169" t="s">
        <v>4461</v>
      </c>
      <c r="S25" s="169">
        <f>S24-5</f>
        <v>8</v>
      </c>
      <c r="T25" s="169" t="s">
        <v>4470</v>
      </c>
      <c r="U25" s="169">
        <v>189.5</v>
      </c>
      <c r="V25" s="169">
        <f>U25*(1+$R$79+$Q$15*S25/36500)</f>
        <v>192.78535890410961</v>
      </c>
      <c r="W25" s="32">
        <f t="shared" si="5"/>
        <v>196.6410660821918</v>
      </c>
      <c r="X25" s="32">
        <f t="shared" si="6"/>
        <v>200.49677326027401</v>
      </c>
      <c r="Y25" s="96"/>
      <c r="Z25" s="96" t="s">
        <v>25</v>
      </c>
      <c r="AA25" s="96"/>
      <c r="AB25" s="96"/>
      <c r="AC25" s="96"/>
      <c r="AD25" s="96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7"/>
        <v>224</v>
      </c>
      <c r="AL25" s="113">
        <f t="shared" si="8"/>
        <v>-6457993248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6" t="s">
        <v>4517</v>
      </c>
      <c r="N26" s="113">
        <f t="shared" si="4"/>
        <v>152434</v>
      </c>
      <c r="O26" s="36">
        <v>398</v>
      </c>
      <c r="P26" s="99">
        <f>P43</f>
        <v>383</v>
      </c>
      <c r="Q26" s="170">
        <v>1734776</v>
      </c>
      <c r="R26" s="169" t="s">
        <v>4475</v>
      </c>
      <c r="S26" s="169">
        <f>S25-1</f>
        <v>7</v>
      </c>
      <c r="T26" s="197" t="s">
        <v>4476</v>
      </c>
      <c r="U26" s="169">
        <v>188.8</v>
      </c>
      <c r="V26" s="169">
        <f>U26*(1+$R$79+$Q$15*S26/36500)</f>
        <v>191.92839013698634</v>
      </c>
      <c r="W26" s="32">
        <f t="shared" si="5"/>
        <v>195.76695793972607</v>
      </c>
      <c r="X26" s="32">
        <f t="shared" si="6"/>
        <v>199.6055257424658</v>
      </c>
      <c r="Y26" s="96"/>
      <c r="Z26" s="96"/>
      <c r="AA26" s="96"/>
      <c r="AB26" s="96"/>
      <c r="AC26" s="96"/>
      <c r="AD26" s="96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7"/>
        <v>218</v>
      </c>
      <c r="AL26" s="113">
        <f t="shared" si="8"/>
        <v>4033000000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4467</v>
      </c>
      <c r="N27" s="113">
        <f t="shared" si="4"/>
        <v>137666.20000000001</v>
      </c>
      <c r="O27" s="36">
        <v>749</v>
      </c>
      <c r="P27" s="99">
        <f>P47</f>
        <v>183.8</v>
      </c>
      <c r="Q27" s="170">
        <v>1484689</v>
      </c>
      <c r="R27" s="169" t="s">
        <v>4482</v>
      </c>
      <c r="S27" s="169">
        <f>S26-1</f>
        <v>6</v>
      </c>
      <c r="T27" s="19" t="s">
        <v>4486</v>
      </c>
      <c r="U27" s="169">
        <v>5474</v>
      </c>
      <c r="V27" s="169">
        <f>U27*(1+$R$79+$Q$15*S27/36500)</f>
        <v>5560.5041972602739</v>
      </c>
      <c r="W27" s="32">
        <f t="shared" si="5"/>
        <v>5671.7142812054799</v>
      </c>
      <c r="X27" s="32">
        <f t="shared" si="6"/>
        <v>5782.9243651506849</v>
      </c>
      <c r="Y27" s="96"/>
      <c r="Z27" s="96"/>
      <c r="AA27" s="96"/>
      <c r="AB27" s="96"/>
      <c r="AC27" s="96"/>
      <c r="AD27" s="96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7"/>
        <v>217</v>
      </c>
      <c r="AL27" s="113">
        <f t="shared" si="8"/>
        <v>-4025350000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/>
      <c r="N28" s="113"/>
      <c r="P28" t="s">
        <v>25</v>
      </c>
      <c r="Q28" s="170">
        <v>2197673</v>
      </c>
      <c r="R28" s="169" t="s">
        <v>4482</v>
      </c>
      <c r="S28" s="169">
        <f>S27</f>
        <v>6</v>
      </c>
      <c r="T28" s="19" t="s">
        <v>4487</v>
      </c>
      <c r="U28" s="169">
        <v>5349</v>
      </c>
      <c r="V28" s="169">
        <f>U28*(1+$R$79+$Q$15*S28/36500)</f>
        <v>5433.5288547945211</v>
      </c>
      <c r="W28" s="32">
        <f t="shared" si="5"/>
        <v>5542.1994318904117</v>
      </c>
      <c r="X28" s="32">
        <f t="shared" si="6"/>
        <v>5650.8700089863023</v>
      </c>
      <c r="Y28" s="96"/>
      <c r="Z28" s="96"/>
      <c r="AA28" s="96"/>
      <c r="AB28" s="96"/>
      <c r="AC28" s="96"/>
      <c r="AD28" s="96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7"/>
        <v>216</v>
      </c>
      <c r="AL28" s="113">
        <f t="shared" si="8"/>
        <v>-14031576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 t="s">
        <v>756</v>
      </c>
      <c r="N29" s="113">
        <v>3000000</v>
      </c>
      <c r="O29" t="s">
        <v>25</v>
      </c>
      <c r="P29" t="s">
        <v>25</v>
      </c>
      <c r="Q29" s="170">
        <v>1353959</v>
      </c>
      <c r="R29" s="169" t="s">
        <v>4482</v>
      </c>
      <c r="S29" s="169">
        <f>S28</f>
        <v>6</v>
      </c>
      <c r="T29" s="19" t="s">
        <v>4498</v>
      </c>
      <c r="U29" s="169">
        <v>192.2</v>
      </c>
      <c r="V29" s="169">
        <f>U29*(1+$R$79+$Q$15*S29/36500)</f>
        <v>195.23728657534247</v>
      </c>
      <c r="W29" s="32">
        <f t="shared" si="5"/>
        <v>199.14203230684933</v>
      </c>
      <c r="X29" s="32">
        <f t="shared" si="6"/>
        <v>203.04677803835617</v>
      </c>
      <c r="Y29" s="96"/>
      <c r="Z29" s="96"/>
      <c r="AA29" s="96"/>
      <c r="AB29" s="96"/>
      <c r="AC29" s="96"/>
      <c r="AD29" s="96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7"/>
        <v>211</v>
      </c>
      <c r="AL29" s="113">
        <f t="shared" si="8"/>
        <v>1350400000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918</v>
      </c>
      <c r="L30" s="117">
        <v>4800000</v>
      </c>
      <c r="M30" s="169" t="s">
        <v>4158</v>
      </c>
      <c r="N30" s="113">
        <f>-1*L19</f>
        <v>-61509815</v>
      </c>
      <c r="O30" s="96" t="s">
        <v>25</v>
      </c>
      <c r="P30" s="96" t="s">
        <v>25</v>
      </c>
      <c r="Q30" s="170">
        <v>1799855</v>
      </c>
      <c r="R30" s="169" t="s">
        <v>4495</v>
      </c>
      <c r="S30" s="169">
        <f>S29-3</f>
        <v>3</v>
      </c>
      <c r="T30" s="19" t="s">
        <v>4496</v>
      </c>
      <c r="U30" s="169">
        <v>184.6</v>
      </c>
      <c r="V30" s="169">
        <f>U30*(1+$R$79+$Q$15*S30/36500)</f>
        <v>187.09235287671234</v>
      </c>
      <c r="W30" s="32">
        <f t="shared" si="5"/>
        <v>190.83419993424658</v>
      </c>
      <c r="X30" s="32">
        <f t="shared" si="6"/>
        <v>194.57604699178083</v>
      </c>
      <c r="Y30" s="96"/>
      <c r="Z30" s="96"/>
      <c r="AA30" s="96"/>
      <c r="AB30" s="96"/>
      <c r="AC30" s="96"/>
      <c r="AD30" s="96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7"/>
        <v>210</v>
      </c>
      <c r="AL30" s="113">
        <f t="shared" si="8"/>
        <v>-35700000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929</v>
      </c>
      <c r="L31" s="117">
        <v>0</v>
      </c>
      <c r="M31" s="169" t="s">
        <v>753</v>
      </c>
      <c r="N31" s="113">
        <v>500000</v>
      </c>
      <c r="O31" s="96"/>
      <c r="P31" s="96"/>
      <c r="Q31" s="170">
        <v>1049300</v>
      </c>
      <c r="R31" s="169" t="s">
        <v>4495</v>
      </c>
      <c r="S31" s="169">
        <f>S30</f>
        <v>3</v>
      </c>
      <c r="T31" s="197" t="s">
        <v>4500</v>
      </c>
      <c r="U31" s="169">
        <v>184.6</v>
      </c>
      <c r="V31" s="169">
        <f>U31*(1+$R$79+$Q$15*S31/36500)</f>
        <v>187.09235287671234</v>
      </c>
      <c r="W31" s="32">
        <f t="shared" si="5"/>
        <v>190.83419993424658</v>
      </c>
      <c r="X31" s="32">
        <f t="shared" si="6"/>
        <v>194.57604699178083</v>
      </c>
      <c r="Y31" s="96"/>
      <c r="Z31" s="96"/>
      <c r="AA31" s="96"/>
      <c r="AB31" s="96"/>
      <c r="AC31" s="96"/>
      <c r="AD31" s="9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205</v>
      </c>
      <c r="AL31" s="113">
        <f t="shared" si="8"/>
        <v>-1291500000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1087</v>
      </c>
      <c r="L32" s="117">
        <f>65*P15</f>
        <v>260000000</v>
      </c>
      <c r="M32" s="169" t="s">
        <v>760</v>
      </c>
      <c r="N32" s="113">
        <v>1200000</v>
      </c>
      <c r="O32" t="s">
        <v>25</v>
      </c>
      <c r="P32" t="s">
        <v>25</v>
      </c>
      <c r="Q32" s="170">
        <v>146296</v>
      </c>
      <c r="R32" s="169" t="s">
        <v>4508</v>
      </c>
      <c r="S32" s="210">
        <f>S31-2</f>
        <v>1</v>
      </c>
      <c r="T32" s="169" t="s">
        <v>4513</v>
      </c>
      <c r="U32" s="169">
        <v>365</v>
      </c>
      <c r="V32" s="169">
        <f>U32*(1+$R$79+$Q$15*S32/36500)</f>
        <v>369.36799999999999</v>
      </c>
      <c r="W32" s="32">
        <f t="shared" si="5"/>
        <v>376.75536</v>
      </c>
      <c r="X32" s="32">
        <f t="shared" si="6"/>
        <v>384.14272</v>
      </c>
      <c r="Y32" s="96"/>
      <c r="Z32" s="96"/>
      <c r="AA32" s="96"/>
      <c r="AB32" s="96"/>
      <c r="AC32" s="96"/>
      <c r="AD32" s="9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7"/>
        <v>204</v>
      </c>
      <c r="AL32" s="113">
        <f t="shared" si="8"/>
        <v>-10611060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4156</v>
      </c>
      <c r="L33" s="117">
        <v>-50000000</v>
      </c>
      <c r="M33" s="73" t="s">
        <v>4313</v>
      </c>
      <c r="N33" s="113">
        <v>767753</v>
      </c>
      <c r="O33" s="22" t="s">
        <v>25</v>
      </c>
      <c r="P33" t="s">
        <v>25</v>
      </c>
      <c r="Q33" s="170">
        <v>145929</v>
      </c>
      <c r="R33" s="169" t="s">
        <v>4508</v>
      </c>
      <c r="S33" s="210">
        <f>S32</f>
        <v>1</v>
      </c>
      <c r="T33" s="196" t="s">
        <v>4516</v>
      </c>
      <c r="U33" s="169">
        <v>365</v>
      </c>
      <c r="V33" s="169">
        <f>U33*(1+$R$79+$Q$15*S33/36500)</f>
        <v>369.36799999999999</v>
      </c>
      <c r="W33" s="32">
        <f t="shared" si="5"/>
        <v>376.75536</v>
      </c>
      <c r="X33" s="32">
        <f t="shared" si="6"/>
        <v>384.14272</v>
      </c>
      <c r="Y33" s="96"/>
      <c r="Z33" s="96"/>
      <c r="AA33" s="96"/>
      <c r="AB33" s="96"/>
      <c r="AC33" s="96"/>
      <c r="AD33" s="96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7"/>
        <v>188</v>
      </c>
      <c r="AL33" s="113">
        <f t="shared" si="8"/>
        <v>3763271200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4353</v>
      </c>
      <c r="L34" s="117">
        <v>-2985000</v>
      </c>
      <c r="M34" s="169" t="s">
        <v>1087</v>
      </c>
      <c r="N34" s="113">
        <f>65*P15</f>
        <v>260000000</v>
      </c>
      <c r="P34" t="s">
        <v>25</v>
      </c>
      <c r="Q34" s="170"/>
      <c r="R34" s="169"/>
      <c r="S34" s="169"/>
      <c r="T34" s="169"/>
      <c r="U34" s="169"/>
      <c r="V34" s="169"/>
      <c r="W34" s="32"/>
      <c r="X34" s="32"/>
      <c r="Y34" s="96"/>
      <c r="Z34" s="96"/>
      <c r="AA34" s="96"/>
      <c r="AB34" s="96"/>
      <c r="AC34" s="96"/>
      <c r="AD34" s="96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7"/>
        <v>188</v>
      </c>
      <c r="AL34" s="113">
        <f t="shared" si="8"/>
        <v>190719608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4367</v>
      </c>
      <c r="L35" s="117">
        <v>1000000</v>
      </c>
      <c r="M35" s="169" t="s">
        <v>4344</v>
      </c>
      <c r="N35" s="113">
        <v>-20000000</v>
      </c>
      <c r="Q35" s="170">
        <f>SUM(N19:N27)-SUM(Q20:Q34)</f>
        <v>-2732612.5999999978</v>
      </c>
      <c r="R35" s="169"/>
      <c r="S35" s="169" t="s">
        <v>25</v>
      </c>
      <c r="T35" s="169"/>
      <c r="U35" s="169"/>
      <c r="V35" s="169"/>
      <c r="W35" s="32"/>
      <c r="X35" s="32"/>
      <c r="Y35" s="96"/>
      <c r="Z35" s="96"/>
      <c r="AA35" s="96"/>
      <c r="AB35" s="96"/>
      <c r="AC35" s="96"/>
      <c r="AD35" s="96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7"/>
        <v>176</v>
      </c>
      <c r="AL35" s="113">
        <f t="shared" si="8"/>
        <v>63360000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4410</v>
      </c>
      <c r="L36" s="117">
        <v>-26000</v>
      </c>
      <c r="M36" s="169" t="s">
        <v>4376</v>
      </c>
      <c r="N36" s="113">
        <v>-50000000</v>
      </c>
      <c r="O36" s="96" t="s">
        <v>25</v>
      </c>
      <c r="P36" s="96"/>
      <c r="R36" s="115"/>
      <c r="S36" s="115"/>
      <c r="T36" s="115"/>
      <c r="U36" s="115"/>
      <c r="V36" s="115"/>
      <c r="W36" s="203"/>
      <c r="X36" s="203"/>
      <c r="Y36" s="96"/>
      <c r="Z36" s="96"/>
      <c r="AA36" s="96"/>
      <c r="AB36" s="96"/>
      <c r="AC36" s="96"/>
      <c r="AD36" s="96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7"/>
        <v>174</v>
      </c>
      <c r="AL36" s="113">
        <f t="shared" si="8"/>
        <v>-60900000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99" t="s">
        <v>4456</v>
      </c>
      <c r="L37" s="117">
        <v>3000000</v>
      </c>
      <c r="M37" s="169" t="s">
        <v>4367</v>
      </c>
      <c r="N37" s="113">
        <v>1000000</v>
      </c>
      <c r="O37" s="96"/>
      <c r="P37" s="96"/>
      <c r="R37" s="115"/>
      <c r="S37" s="115"/>
      <c r="T37" s="115" t="s">
        <v>25</v>
      </c>
      <c r="U37" s="115"/>
      <c r="V37" s="115"/>
      <c r="W37" s="203"/>
      <c r="X37" s="203"/>
      <c r="Y37" s="96"/>
      <c r="Z37" s="96"/>
      <c r="AA37" s="96"/>
      <c r="AB37" s="96"/>
      <c r="AC37" s="96"/>
      <c r="AD37" s="96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7"/>
        <v>174</v>
      </c>
      <c r="AL37" s="113">
        <f t="shared" si="8"/>
        <v>174000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99" t="s">
        <v>4480</v>
      </c>
      <c r="L38" s="117">
        <v>-600000</v>
      </c>
      <c r="M38" s="169" t="s">
        <v>3892</v>
      </c>
      <c r="N38" s="113">
        <v>111918</v>
      </c>
      <c r="O38" s="99" t="s">
        <v>938</v>
      </c>
      <c r="P38" s="99" t="s">
        <v>3933</v>
      </c>
      <c r="Q38" t="s">
        <v>25</v>
      </c>
      <c r="S38" s="26" t="s">
        <v>25</v>
      </c>
      <c r="T38" t="s">
        <v>25</v>
      </c>
      <c r="U38" s="96" t="s">
        <v>25</v>
      </c>
      <c r="V38" s="115" t="s">
        <v>25</v>
      </c>
      <c r="W38" s="203"/>
      <c r="X38" s="203"/>
      <c r="Y38" s="96"/>
      <c r="Z38" s="96"/>
      <c r="AA38" s="96"/>
      <c r="AB38" s="96"/>
      <c r="AC38" s="96"/>
      <c r="AD38" s="96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7"/>
        <v>173</v>
      </c>
      <c r="AL38" s="113">
        <f t="shared" si="8"/>
        <v>5814530000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56" t="s">
        <v>4504</v>
      </c>
      <c r="L39" s="117">
        <v>-3000000</v>
      </c>
      <c r="M39" s="169"/>
      <c r="N39" s="113"/>
      <c r="O39" s="99"/>
      <c r="P39" s="99"/>
      <c r="T39" t="s">
        <v>25</v>
      </c>
      <c r="W39" s="203"/>
      <c r="X39" s="203"/>
      <c r="Y39" s="96"/>
      <c r="Z39" s="96"/>
      <c r="AA39" s="96"/>
      <c r="AB39" s="96"/>
      <c r="AC39" s="96"/>
      <c r="AD39" s="96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7"/>
        <v>169</v>
      </c>
      <c r="AL39" s="113">
        <f t="shared" si="8"/>
        <v>-2636400000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 t="s">
        <v>4506</v>
      </c>
      <c r="L40" s="117">
        <v>733314</v>
      </c>
      <c r="M40" s="32" t="s">
        <v>4430</v>
      </c>
      <c r="N40" s="113">
        <f t="shared" ref="N40:N47" si="12">O40*P40</f>
        <v>2084121</v>
      </c>
      <c r="O40" s="99">
        <v>611</v>
      </c>
      <c r="P40" s="99">
        <v>3411</v>
      </c>
      <c r="U40" s="96" t="s">
        <v>25</v>
      </c>
      <c r="W40" s="203"/>
      <c r="X40" s="203"/>
      <c r="Y40" s="96"/>
      <c r="Z40" s="96" t="s">
        <v>25</v>
      </c>
      <c r="AA40" s="96"/>
      <c r="AB40" s="96"/>
      <c r="AC40" s="96"/>
      <c r="AD40" s="96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7"/>
        <v>166</v>
      </c>
      <c r="AL40" s="113">
        <f t="shared" si="8"/>
        <v>1245000000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 t="s">
        <v>4507</v>
      </c>
      <c r="L41" s="117">
        <v>-1100000</v>
      </c>
      <c r="M41" s="169" t="s">
        <v>4188</v>
      </c>
      <c r="N41" s="113">
        <f t="shared" si="12"/>
        <v>188708683.80000001</v>
      </c>
      <c r="O41" s="99">
        <v>1082666</v>
      </c>
      <c r="P41" s="99">
        <v>174.3</v>
      </c>
      <c r="W41" s="203"/>
      <c r="X41" s="203"/>
      <c r="Y41" s="96"/>
      <c r="Z41" s="96"/>
      <c r="AA41" s="96"/>
      <c r="AB41" s="96"/>
      <c r="AC41" s="96"/>
      <c r="AD41" s="96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7"/>
        <v>162</v>
      </c>
      <c r="AL41" s="113">
        <f t="shared" si="8"/>
        <v>-15876000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 ht="30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 t="s">
        <v>4270</v>
      </c>
      <c r="N42" s="113">
        <f t="shared" si="12"/>
        <v>3427783.8000000003</v>
      </c>
      <c r="O42" s="99">
        <v>19666</v>
      </c>
      <c r="P42" s="99">
        <f>P41</f>
        <v>174.3</v>
      </c>
      <c r="Q42" s="73" t="s">
        <v>4322</v>
      </c>
      <c r="R42" s="112"/>
      <c r="S42" s="112"/>
      <c r="T42" s="112"/>
      <c r="U42" s="169" t="s">
        <v>4399</v>
      </c>
      <c r="V42" s="36" t="s">
        <v>4401</v>
      </c>
      <c r="W42" s="32"/>
      <c r="X42" s="32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7"/>
        <v>161</v>
      </c>
      <c r="AL42" s="113">
        <f t="shared" si="8"/>
        <v>-4186000000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/>
      <c r="L43" s="117"/>
      <c r="M43" s="169" t="s">
        <v>4515</v>
      </c>
      <c r="N43" s="113">
        <f t="shared" si="12"/>
        <v>152434</v>
      </c>
      <c r="O43" s="99">
        <v>398</v>
      </c>
      <c r="P43" s="99">
        <v>383</v>
      </c>
      <c r="Q43" s="112" t="s">
        <v>267</v>
      </c>
      <c r="R43" s="112" t="s">
        <v>180</v>
      </c>
      <c r="S43" s="112" t="s">
        <v>183</v>
      </c>
      <c r="T43" s="112" t="s">
        <v>8</v>
      </c>
      <c r="U43" s="169"/>
      <c r="V43" s="99"/>
      <c r="W43" s="32">
        <f t="shared" si="5"/>
        <v>0</v>
      </c>
      <c r="X43" s="32">
        <f t="shared" ref="X43:X65" si="13">V43*(1+$X$18/100)</f>
        <v>0</v>
      </c>
      <c r="Y43" s="115"/>
      <c r="Z43" s="115"/>
      <c r="AA43" s="115" t="s">
        <v>25</v>
      </c>
      <c r="AB43" s="115"/>
      <c r="AC43" s="115"/>
      <c r="AD43" s="115"/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7"/>
        <v>161</v>
      </c>
      <c r="AL43" s="113">
        <f t="shared" si="8"/>
        <v>4025000000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99"/>
      <c r="M44" s="169" t="s">
        <v>4323</v>
      </c>
      <c r="N44" s="113">
        <f t="shared" si="12"/>
        <v>8272919.2999999989</v>
      </c>
      <c r="O44" s="69">
        <v>29347</v>
      </c>
      <c r="P44" s="69">
        <v>281.89999999999998</v>
      </c>
      <c r="Q44" s="170">
        <v>184971545</v>
      </c>
      <c r="R44" s="169" t="s">
        <v>4181</v>
      </c>
      <c r="S44" s="198">
        <v>66</v>
      </c>
      <c r="T44" s="169" t="s">
        <v>4382</v>
      </c>
      <c r="U44" s="169">
        <v>192</v>
      </c>
      <c r="V44" s="99">
        <f>U44*(1+$R$79+$Q$15*S44/36500)</f>
        <v>203.87138630136988</v>
      </c>
      <c r="W44" s="32">
        <f t="shared" si="5"/>
        <v>207.94881402739728</v>
      </c>
      <c r="X44" s="32">
        <f t="shared" si="13"/>
        <v>212.02624175342467</v>
      </c>
      <c r="Y44" s="115"/>
      <c r="Z44" s="115"/>
      <c r="AA44" s="115"/>
      <c r="AB44" s="115"/>
      <c r="AC44" s="115"/>
      <c r="AD44" s="115" t="s">
        <v>25</v>
      </c>
      <c r="AE44" s="115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7"/>
        <v>160</v>
      </c>
      <c r="AL44" s="113">
        <f t="shared" si="8"/>
        <v>17600000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99"/>
      <c r="M45" s="169" t="s">
        <v>4434</v>
      </c>
      <c r="N45" s="113">
        <f t="shared" si="12"/>
        <v>3817359</v>
      </c>
      <c r="O45" s="69">
        <v>767</v>
      </c>
      <c r="P45" s="69">
        <v>4977</v>
      </c>
      <c r="Q45" s="170">
        <v>3759803</v>
      </c>
      <c r="R45" s="169" t="s">
        <v>4271</v>
      </c>
      <c r="S45" s="198">
        <f>S44-21</f>
        <v>45</v>
      </c>
      <c r="T45" s="169" t="s">
        <v>4280</v>
      </c>
      <c r="U45" s="169">
        <v>190.3</v>
      </c>
      <c r="V45" s="99">
        <f>U45*(1+$R$79+$Q$15*S45/36500)</f>
        <v>199.00062027397266</v>
      </c>
      <c r="W45" s="32">
        <f t="shared" si="5"/>
        <v>202.98063267945213</v>
      </c>
      <c r="X45" s="32">
        <f t="shared" si="13"/>
        <v>206.96064508493157</v>
      </c>
      <c r="Y45" s="115"/>
      <c r="Z45" s="115"/>
      <c r="AA45" s="115"/>
      <c r="AB45" s="115"/>
      <c r="AC45" s="115" t="s">
        <v>25</v>
      </c>
      <c r="AD45" s="115" t="s">
        <v>25</v>
      </c>
      <c r="AE45" s="115" t="s">
        <v>25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7"/>
        <v>159</v>
      </c>
      <c r="AL45" s="113">
        <f t="shared" si="8"/>
        <v>60420000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99"/>
      <c r="M46" s="169" t="s">
        <v>4450</v>
      </c>
      <c r="N46" s="117">
        <f t="shared" si="12"/>
        <v>4348683.8999999994</v>
      </c>
      <c r="O46" s="69">
        <v>10431</v>
      </c>
      <c r="P46" s="69">
        <v>416.9</v>
      </c>
      <c r="Q46" s="170">
        <v>9560464</v>
      </c>
      <c r="R46" s="169" t="s">
        <v>4326</v>
      </c>
      <c r="S46" s="198">
        <f>S45-11</f>
        <v>34</v>
      </c>
      <c r="T46" s="169" t="s">
        <v>4343</v>
      </c>
      <c r="U46" s="169">
        <v>214.57</v>
      </c>
      <c r="V46" s="99">
        <f>U46*(1+$R$79+$Q$15*S46/36500)</f>
        <v>222.56963989041094</v>
      </c>
      <c r="W46" s="32">
        <f t="shared" si="5"/>
        <v>227.02103268821915</v>
      </c>
      <c r="X46" s="32">
        <f t="shared" si="13"/>
        <v>231.47242548602739</v>
      </c>
      <c r="Y46" s="115"/>
      <c r="Z46" s="115"/>
      <c r="AA46" s="115"/>
      <c r="AB46" s="115"/>
      <c r="AC46" s="115"/>
      <c r="AD46" s="115"/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7"/>
        <v>152</v>
      </c>
      <c r="AL46" s="113">
        <f t="shared" si="8"/>
        <v>68400000</v>
      </c>
      <c r="AM46" s="99"/>
    </row>
    <row r="47" spans="1:53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99"/>
      <c r="M47" s="73" t="s">
        <v>4467</v>
      </c>
      <c r="N47" s="117">
        <f t="shared" si="12"/>
        <v>2403552.6</v>
      </c>
      <c r="O47" s="69">
        <v>13077</v>
      </c>
      <c r="P47" s="69">
        <v>183.8</v>
      </c>
      <c r="Q47" s="170">
        <v>2000000</v>
      </c>
      <c r="R47" s="169" t="s">
        <v>4377</v>
      </c>
      <c r="S47" s="169">
        <f>S46-11</f>
        <v>23</v>
      </c>
      <c r="T47" s="169" t="s">
        <v>4381</v>
      </c>
      <c r="U47" s="169">
        <v>206.8</v>
      </c>
      <c r="V47" s="99">
        <f>U47*(1+$R$79+$Q$15*S47/36500)</f>
        <v>212.76490520547949</v>
      </c>
      <c r="W47" s="32">
        <f t="shared" si="5"/>
        <v>217.02020330958908</v>
      </c>
      <c r="X47" s="32">
        <f t="shared" si="13"/>
        <v>221.27550141369869</v>
      </c>
      <c r="Y47" s="115"/>
      <c r="Z47" s="115"/>
      <c r="AA47" s="115"/>
      <c r="AB47" s="115"/>
      <c r="AC47" s="115"/>
      <c r="AD47" s="115" t="s">
        <v>25</v>
      </c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7"/>
        <v>146</v>
      </c>
      <c r="AL47" s="113">
        <f t="shared" si="8"/>
        <v>408800000</v>
      </c>
      <c r="AM47" s="99"/>
    </row>
    <row r="48" spans="1:53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99"/>
      <c r="M48" s="73"/>
      <c r="N48" s="117"/>
      <c r="O48" s="122"/>
      <c r="P48" s="122"/>
      <c r="Q48" s="170">
        <v>1457531</v>
      </c>
      <c r="R48" s="169" t="s">
        <v>4413</v>
      </c>
      <c r="S48" s="198">
        <f>S47-6</f>
        <v>17</v>
      </c>
      <c r="T48" s="169" t="s">
        <v>4414</v>
      </c>
      <c r="U48" s="169">
        <v>310</v>
      </c>
      <c r="V48" s="99">
        <f>U48*(1+$R$79+$Q$15*S48/36500)</f>
        <v>317.51473972602747</v>
      </c>
      <c r="W48" s="32">
        <f t="shared" si="5"/>
        <v>323.86503452054802</v>
      </c>
      <c r="X48" s="32">
        <f t="shared" si="13"/>
        <v>330.21532931506857</v>
      </c>
      <c r="Y48" s="115"/>
      <c r="Z48" s="115"/>
      <c r="AA48" s="115"/>
      <c r="AB48" s="115" t="s">
        <v>25</v>
      </c>
      <c r="AC48" s="115"/>
      <c r="AD48" s="115"/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7"/>
        <v>145</v>
      </c>
      <c r="AL48" s="113">
        <f t="shared" si="8"/>
        <v>-217500000</v>
      </c>
      <c r="AM48" s="99"/>
    </row>
    <row r="49" spans="1:39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/>
      <c r="L49" s="99"/>
      <c r="M49" s="169" t="s">
        <v>1155</v>
      </c>
      <c r="N49" s="117">
        <v>14908</v>
      </c>
      <c r="O49" s="96" t="s">
        <v>25</v>
      </c>
      <c r="P49" t="s">
        <v>25</v>
      </c>
      <c r="Q49" s="170">
        <v>1429825</v>
      </c>
      <c r="R49" s="169" t="s">
        <v>4408</v>
      </c>
      <c r="S49" s="169">
        <f>S48-1</f>
        <v>16</v>
      </c>
      <c r="T49" s="169" t="s">
        <v>4419</v>
      </c>
      <c r="U49" s="169">
        <v>203.9</v>
      </c>
      <c r="V49" s="99">
        <f>U49*(1+$R$79+$Q$15*S49/36500)</f>
        <v>208.68634301369863</v>
      </c>
      <c r="W49" s="32">
        <f t="shared" si="5"/>
        <v>212.86006987397261</v>
      </c>
      <c r="X49" s="32">
        <f t="shared" si="13"/>
        <v>217.03379673424658</v>
      </c>
      <c r="AC49" t="s">
        <v>25</v>
      </c>
      <c r="AD49" t="s">
        <v>25</v>
      </c>
      <c r="AE49" s="115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145</v>
      </c>
      <c r="AL49" s="113">
        <f t="shared" si="8"/>
        <v>442250000</v>
      </c>
      <c r="AM49" s="99"/>
    </row>
    <row r="50" spans="1:39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99"/>
      <c r="M50" s="169" t="s">
        <v>1156</v>
      </c>
      <c r="N50" s="117">
        <v>5282</v>
      </c>
      <c r="O50" s="96"/>
      <c r="Q50" s="170">
        <v>1420747</v>
      </c>
      <c r="R50" s="169" t="s">
        <v>4408</v>
      </c>
      <c r="S50" s="169">
        <f>S49</f>
        <v>16</v>
      </c>
      <c r="T50" s="169" t="s">
        <v>4421</v>
      </c>
      <c r="U50" s="169">
        <v>203.1</v>
      </c>
      <c r="V50" s="99">
        <f>U50*(1+$R$79+$Q$15*S50/36500)</f>
        <v>207.86756383561644</v>
      </c>
      <c r="W50" s="32">
        <f t="shared" si="5"/>
        <v>212.02491511232876</v>
      </c>
      <c r="X50" s="32">
        <f t="shared" si="13"/>
        <v>216.1822663890411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7"/>
        <v>142</v>
      </c>
      <c r="AL50" s="113">
        <f t="shared" si="8"/>
        <v>-1178544904</v>
      </c>
      <c r="AM50" s="99"/>
    </row>
    <row r="51" spans="1:39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169"/>
      <c r="L51" s="117"/>
      <c r="M51" s="169"/>
      <c r="N51" s="113"/>
      <c r="O51" s="115"/>
      <c r="P51" s="115"/>
      <c r="Q51" s="170">
        <v>2864946</v>
      </c>
      <c r="R51" s="169" t="s">
        <v>4408</v>
      </c>
      <c r="S51" s="200">
        <f>S50</f>
        <v>16</v>
      </c>
      <c r="T51" s="169" t="s">
        <v>4423</v>
      </c>
      <c r="U51" s="169">
        <v>303.60000000000002</v>
      </c>
      <c r="V51" s="99">
        <f>U51*(1+$R$79+$Q$15*S51/36500)</f>
        <v>310.72669808219183</v>
      </c>
      <c r="W51" s="32">
        <f t="shared" si="5"/>
        <v>316.94123204383567</v>
      </c>
      <c r="X51" s="32">
        <f t="shared" si="13"/>
        <v>323.15576600547951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7"/>
        <v>140</v>
      </c>
      <c r="AL51" s="113">
        <f t="shared" si="8"/>
        <v>700000000</v>
      </c>
      <c r="AM51" s="99"/>
    </row>
    <row r="52" spans="1:39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169" t="s">
        <v>25</v>
      </c>
      <c r="L52" s="117"/>
      <c r="M52" s="169" t="s">
        <v>4189</v>
      </c>
      <c r="N52" s="113">
        <f>-O52*P52</f>
        <v>-14427333.9</v>
      </c>
      <c r="O52" s="99">
        <v>82773</v>
      </c>
      <c r="P52" s="99">
        <f>P41</f>
        <v>174.3</v>
      </c>
      <c r="Q52" s="170">
        <v>2412371</v>
      </c>
      <c r="R52" s="169" t="s">
        <v>4411</v>
      </c>
      <c r="S52" s="169">
        <f>S51-1</f>
        <v>15</v>
      </c>
      <c r="T52" s="169" t="s">
        <v>4429</v>
      </c>
      <c r="U52" s="169">
        <v>3930</v>
      </c>
      <c r="V52" s="99">
        <f>U52*(1+$R$79+$Q$15*S52/36500)</f>
        <v>4019.2379178082197</v>
      </c>
      <c r="W52" s="32">
        <f t="shared" si="5"/>
        <v>4099.6226761643838</v>
      </c>
      <c r="X52" s="32">
        <f t="shared" si="13"/>
        <v>4180.0074345205485</v>
      </c>
      <c r="AA52" s="96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7"/>
        <v>126</v>
      </c>
      <c r="AL52" s="113">
        <f t="shared" si="8"/>
        <v>-11340000</v>
      </c>
      <c r="AM52" s="99"/>
    </row>
    <row r="53" spans="1:39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169"/>
      <c r="L53" s="117"/>
      <c r="M53" s="169"/>
      <c r="N53" s="113"/>
      <c r="O53" s="115"/>
      <c r="P53" s="115"/>
      <c r="Q53" s="170">
        <v>2010885</v>
      </c>
      <c r="R53" s="169" t="s">
        <v>4432</v>
      </c>
      <c r="S53" s="169">
        <f>S52-2</f>
        <v>13</v>
      </c>
      <c r="T53" s="169" t="s">
        <v>4438</v>
      </c>
      <c r="U53" s="169">
        <v>202.1</v>
      </c>
      <c r="V53" s="99">
        <f>U53*(1+$R$79+$Q$15*S53/36500)</f>
        <v>206.37898301369864</v>
      </c>
      <c r="W53" s="32">
        <f t="shared" si="5"/>
        <v>210.50656267397261</v>
      </c>
      <c r="X53" s="32">
        <f t="shared" si="13"/>
        <v>214.6341423342466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7"/>
        <v>125</v>
      </c>
      <c r="AL53" s="113">
        <f t="shared" si="8"/>
        <v>700000000</v>
      </c>
      <c r="AM53" s="99"/>
    </row>
    <row r="54" spans="1:39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169"/>
      <c r="L54" s="117"/>
      <c r="M54" s="169" t="s">
        <v>4502</v>
      </c>
      <c r="N54" s="113">
        <v>-828485</v>
      </c>
      <c r="O54" s="96"/>
      <c r="P54" s="96"/>
      <c r="Q54" s="170">
        <v>1994038</v>
      </c>
      <c r="R54" s="169" t="s">
        <v>4443</v>
      </c>
      <c r="S54" s="169">
        <f>S53-3</f>
        <v>10</v>
      </c>
      <c r="T54" s="169" t="s">
        <v>4464</v>
      </c>
      <c r="U54" s="169">
        <v>5560.3</v>
      </c>
      <c r="V54" s="99">
        <f>U54*(1+$R$79+$Q$15*S54/36500)</f>
        <v>5665.2297161643846</v>
      </c>
      <c r="W54" s="32">
        <f t="shared" si="5"/>
        <v>5778.534310487672</v>
      </c>
      <c r="X54" s="32">
        <f t="shared" si="13"/>
        <v>5891.8389048109602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7"/>
        <v>121</v>
      </c>
      <c r="AL54" s="113">
        <f t="shared" si="8"/>
        <v>90750000</v>
      </c>
      <c r="AM54" s="99"/>
    </row>
    <row r="55" spans="1:39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169"/>
      <c r="L55" s="117"/>
      <c r="M55" s="169"/>
      <c r="N55" s="113"/>
      <c r="O55" t="s">
        <v>25</v>
      </c>
      <c r="Q55" s="170">
        <v>4629290</v>
      </c>
      <c r="R55" s="169" t="s">
        <v>4443</v>
      </c>
      <c r="S55" s="200">
        <f>S54</f>
        <v>10</v>
      </c>
      <c r="T55" s="169" t="s">
        <v>4451</v>
      </c>
      <c r="U55" s="169">
        <v>441.8</v>
      </c>
      <c r="V55" s="99">
        <f>U55*(1+$R$79+$Q$15*S55/36500)</f>
        <v>450.13731068493155</v>
      </c>
      <c r="W55" s="32">
        <f t="shared" si="5"/>
        <v>459.14005689863018</v>
      </c>
      <c r="X55" s="32">
        <f t="shared" si="13"/>
        <v>468.14280311232881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7"/>
        <v>119</v>
      </c>
      <c r="AL55" s="171">
        <f t="shared" si="8"/>
        <v>-504798000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169" t="s">
        <v>598</v>
      </c>
      <c r="L56" s="113">
        <f>SUM(L16:L44)</f>
        <v>279405331</v>
      </c>
      <c r="M56" s="169"/>
      <c r="N56" s="113">
        <f>SUM(N16:N54)</f>
        <v>352865277.9000001</v>
      </c>
      <c r="P56" t="s">
        <v>25</v>
      </c>
      <c r="Q56" s="170">
        <v>4489908</v>
      </c>
      <c r="R56" s="169" t="s">
        <v>4443</v>
      </c>
      <c r="S56" s="169">
        <f>S55</f>
        <v>10</v>
      </c>
      <c r="T56" s="169" t="s">
        <v>4449</v>
      </c>
      <c r="U56" s="169">
        <v>292.60000000000002</v>
      </c>
      <c r="V56" s="99">
        <f>U56*(1+$R$79+$Q$15*S56/36500)</f>
        <v>298.12172273972607</v>
      </c>
      <c r="W56" s="32">
        <f t="shared" si="5"/>
        <v>304.08415719452057</v>
      </c>
      <c r="X56" s="32">
        <f t="shared" si="13"/>
        <v>310.04659164931513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7"/>
        <v>117</v>
      </c>
      <c r="AL56" s="113">
        <f t="shared" si="8"/>
        <v>479700000</v>
      </c>
      <c r="AM56" s="99"/>
    </row>
    <row r="57" spans="1:39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169" t="s">
        <v>599</v>
      </c>
      <c r="L57" s="113">
        <f>L16+L17+L21</f>
        <v>5073202</v>
      </c>
      <c r="M57" s="169"/>
      <c r="N57" s="113">
        <f>N16+N17+N31</f>
        <v>-7447714</v>
      </c>
      <c r="O57" s="22"/>
      <c r="Q57" s="170">
        <v>1971103</v>
      </c>
      <c r="R57" s="169" t="s">
        <v>4459</v>
      </c>
      <c r="S57" s="169">
        <f>S56-1</f>
        <v>9</v>
      </c>
      <c r="T57" s="169" t="s">
        <v>4460</v>
      </c>
      <c r="U57" s="169">
        <v>196.2</v>
      </c>
      <c r="V57" s="99">
        <f>U57*(1+$R$79+$Q$15*S57/36500)</f>
        <v>199.75202630136988</v>
      </c>
      <c r="W57" s="32">
        <f t="shared" si="5"/>
        <v>203.74706682739728</v>
      </c>
      <c r="X57" s="32">
        <f t="shared" si="13"/>
        <v>207.74210735342467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7"/>
        <v>117</v>
      </c>
      <c r="AL57" s="113">
        <f t="shared" si="8"/>
        <v>479700000</v>
      </c>
      <c r="AM57" s="99"/>
    </row>
    <row r="58" spans="1:39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K58" s="56" t="s">
        <v>716</v>
      </c>
      <c r="L58" s="1">
        <f>L56+N7</f>
        <v>349405331</v>
      </c>
      <c r="M58" s="113"/>
      <c r="N58" s="169"/>
      <c r="O58" t="s">
        <v>25</v>
      </c>
      <c r="P58" t="s">
        <v>25</v>
      </c>
      <c r="Q58" s="170">
        <v>1000913</v>
      </c>
      <c r="R58" s="169" t="s">
        <v>4461</v>
      </c>
      <c r="S58" s="169">
        <f>S57-1</f>
        <v>8</v>
      </c>
      <c r="T58" s="169" t="s">
        <v>4466</v>
      </c>
      <c r="U58" s="169">
        <v>191.3</v>
      </c>
      <c r="V58" s="99">
        <f>U58*(1+$R$79+$Q$15*S58/36500)</f>
        <v>194.61656547945208</v>
      </c>
      <c r="W58" s="32">
        <f t="shared" si="5"/>
        <v>198.50889678904113</v>
      </c>
      <c r="X58" s="32">
        <f t="shared" si="13"/>
        <v>202.40122809863016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7"/>
        <v>116</v>
      </c>
      <c r="AL58" s="113">
        <f t="shared" si="8"/>
        <v>91640000</v>
      </c>
      <c r="AM58" s="99"/>
    </row>
    <row r="59" spans="1:39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M59" t="s">
        <v>4304</v>
      </c>
      <c r="O59" s="114"/>
      <c r="Q59" s="170">
        <v>157443</v>
      </c>
      <c r="R59" s="169" t="s">
        <v>4461</v>
      </c>
      <c r="S59" s="169">
        <f>S58</f>
        <v>8</v>
      </c>
      <c r="T59" s="169" t="s">
        <v>4478</v>
      </c>
      <c r="U59" s="169">
        <v>189.5</v>
      </c>
      <c r="V59" s="99">
        <f>U59*(1+$R$79+$Q$15*S59/36500)</f>
        <v>192.78535890410961</v>
      </c>
      <c r="W59" s="32">
        <f t="shared" si="5"/>
        <v>196.6410660821918</v>
      </c>
      <c r="X59" s="32">
        <f t="shared" si="13"/>
        <v>200.49677326027401</v>
      </c>
      <c r="Y59" s="96"/>
      <c r="Z59" s="96"/>
      <c r="AA59" s="96"/>
      <c r="AB59" s="96"/>
      <c r="AC59" s="96"/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7"/>
        <v>101</v>
      </c>
      <c r="AL59" s="173">
        <f t="shared" si="8"/>
        <v>-390365000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M60" s="25" t="s">
        <v>4117</v>
      </c>
      <c r="Q60" s="170">
        <v>1330173</v>
      </c>
      <c r="R60" s="169" t="s">
        <v>4482</v>
      </c>
      <c r="S60" s="169">
        <f>S59-2</f>
        <v>6</v>
      </c>
      <c r="T60" s="169" t="s">
        <v>4483</v>
      </c>
      <c r="U60" s="169">
        <v>188.1</v>
      </c>
      <c r="V60" s="99">
        <f>U60*(1+$R$79+$Q$15*S60/36500)</f>
        <v>191.07249534246574</v>
      </c>
      <c r="W60" s="32">
        <f t="shared" si="5"/>
        <v>194.89394524931507</v>
      </c>
      <c r="X60" s="32">
        <f t="shared" si="13"/>
        <v>198.71539515616439</v>
      </c>
      <c r="Y60" s="96"/>
      <c r="Z60" s="96"/>
      <c r="AA60" s="96"/>
      <c r="AB60" s="96"/>
      <c r="AC60" s="96"/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7"/>
        <v>95</v>
      </c>
      <c r="AL60" s="113">
        <f t="shared" si="8"/>
        <v>1786000000</v>
      </c>
      <c r="AM60" s="20"/>
    </row>
    <row r="61" spans="1:39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M61" s="25" t="s">
        <v>4085</v>
      </c>
      <c r="P61" t="s">
        <v>25</v>
      </c>
      <c r="Q61" s="170">
        <v>1049856</v>
      </c>
      <c r="R61" s="169" t="s">
        <v>4495</v>
      </c>
      <c r="S61" s="169">
        <f>S60-3</f>
        <v>3</v>
      </c>
      <c r="T61" s="169" t="s">
        <v>4497</v>
      </c>
      <c r="U61" s="169">
        <v>184.5</v>
      </c>
      <c r="V61" s="99">
        <f>U61*(1+$R$79+$Q$15*S61/36500)</f>
        <v>186.99100273972604</v>
      </c>
      <c r="W61" s="32">
        <f t="shared" si="5"/>
        <v>190.73082279452058</v>
      </c>
      <c r="X61" s="32">
        <f t="shared" si="13"/>
        <v>194.47064284931508</v>
      </c>
      <c r="Y61" s="96"/>
      <c r="Z61" s="96"/>
      <c r="AA61" s="96"/>
      <c r="AB61" s="96"/>
      <c r="AC61" s="96"/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7"/>
        <v>92</v>
      </c>
      <c r="AL61" s="113">
        <f t="shared" si="8"/>
        <v>46000000</v>
      </c>
      <c r="AM61" s="20"/>
    </row>
    <row r="62" spans="1:39" ht="30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M62" s="178" t="s">
        <v>4121</v>
      </c>
      <c r="P62" s="115"/>
      <c r="Q62" s="170">
        <v>1783234</v>
      </c>
      <c r="R62" s="169" t="s">
        <v>4508</v>
      </c>
      <c r="S62" s="169">
        <f>S61-2</f>
        <v>1</v>
      </c>
      <c r="T62" s="169" t="s">
        <v>4518</v>
      </c>
      <c r="U62" s="169">
        <v>177.5</v>
      </c>
      <c r="V62" s="99">
        <f>U62*(1+$R$79+$Q$15*S62/36500)</f>
        <v>179.62416438356163</v>
      </c>
      <c r="W62" s="32">
        <f t="shared" si="5"/>
        <v>183.21664767123286</v>
      </c>
      <c r="X62" s="32">
        <f t="shared" si="13"/>
        <v>186.80913095890412</v>
      </c>
      <c r="Y62" s="96" t="s">
        <v>25</v>
      </c>
      <c r="Z62" s="96"/>
      <c r="AA62" s="96"/>
      <c r="AB62" s="96"/>
      <c r="AC62" s="96"/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91</v>
      </c>
      <c r="AL62" s="113">
        <f t="shared" si="8"/>
        <v>18200000</v>
      </c>
      <c r="AM62" s="20"/>
    </row>
    <row r="63" spans="1:39">
      <c r="E63" s="26"/>
      <c r="K63" s="3"/>
      <c r="L63" s="11" t="s">
        <v>304</v>
      </c>
      <c r="M63" s="122"/>
      <c r="N63" s="96"/>
      <c r="P63" s="115"/>
      <c r="Q63" s="170">
        <v>3076452</v>
      </c>
      <c r="R63" s="169" t="s">
        <v>4508</v>
      </c>
      <c r="S63" s="169">
        <f>S62</f>
        <v>1</v>
      </c>
      <c r="T63" s="169" t="s">
        <v>4519</v>
      </c>
      <c r="U63" s="169">
        <v>173.4</v>
      </c>
      <c r="V63" s="99">
        <f>U63*(1+$R$79+$Q$15*S63/36500)</f>
        <v>175.47509917808219</v>
      </c>
      <c r="W63" s="32">
        <f t="shared" si="5"/>
        <v>178.98460116164384</v>
      </c>
      <c r="X63" s="32">
        <f t="shared" si="13"/>
        <v>182.49410314520549</v>
      </c>
      <c r="Y63" s="96"/>
      <c r="Z63" s="96"/>
      <c r="AA63" s="96"/>
      <c r="AB63" s="96"/>
      <c r="AC63" s="96"/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7"/>
        <v>88</v>
      </c>
      <c r="AL63" s="113">
        <f t="shared" si="8"/>
        <v>88000000</v>
      </c>
      <c r="AM63" s="20"/>
    </row>
    <row r="64" spans="1:39">
      <c r="E64" s="26"/>
      <c r="K64" s="1" t="s">
        <v>305</v>
      </c>
      <c r="L64" s="1">
        <v>70000</v>
      </c>
      <c r="M64" s="122" t="s">
        <v>4305</v>
      </c>
      <c r="N64" s="96" t="s">
        <v>25</v>
      </c>
      <c r="P64" s="115"/>
      <c r="Q64" s="170">
        <v>1904396</v>
      </c>
      <c r="R64" s="169" t="s">
        <v>4508</v>
      </c>
      <c r="S64" s="210">
        <f>S63</f>
        <v>1</v>
      </c>
      <c r="T64" s="169" t="s">
        <v>4528</v>
      </c>
      <c r="U64" s="169">
        <v>4861</v>
      </c>
      <c r="V64" s="99">
        <f>U64*(1+$R$79+$Q$15*S64/36500)</f>
        <v>4919.1721863013699</v>
      </c>
      <c r="W64" s="32">
        <f t="shared" si="5"/>
        <v>5017.5556300273975</v>
      </c>
      <c r="X64" s="32">
        <f t="shared" si="13"/>
        <v>5115.939073753425</v>
      </c>
      <c r="Y64" s="96"/>
      <c r="Z64" s="96"/>
      <c r="AA64" s="96"/>
      <c r="AB64" s="96"/>
      <c r="AC64" s="96"/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85</v>
      </c>
      <c r="AL64" s="113">
        <f t="shared" si="8"/>
        <v>110500000</v>
      </c>
      <c r="AM64" s="20"/>
    </row>
    <row r="65" spans="1:39">
      <c r="K65" s="1" t="s">
        <v>321</v>
      </c>
      <c r="L65" s="1">
        <v>100000</v>
      </c>
      <c r="M65" s="122" t="s">
        <v>4306</v>
      </c>
      <c r="P65" s="115"/>
      <c r="Q65" s="170">
        <v>145929</v>
      </c>
      <c r="R65" s="169" t="s">
        <v>4508</v>
      </c>
      <c r="S65" s="210">
        <f>S64</f>
        <v>1</v>
      </c>
      <c r="T65" s="169" t="s">
        <v>4516</v>
      </c>
      <c r="U65" s="169">
        <v>365</v>
      </c>
      <c r="V65" s="99">
        <f>U65*(1+$R$79+$Q$15*S65/36500)</f>
        <v>369.36799999999999</v>
      </c>
      <c r="W65" s="32">
        <f t="shared" si="5"/>
        <v>376.75536</v>
      </c>
      <c r="X65" s="32">
        <f t="shared" si="13"/>
        <v>384.14272</v>
      </c>
      <c r="Y65" s="96"/>
      <c r="Z65" s="96"/>
      <c r="AA65" s="96"/>
      <c r="AB65" s="96"/>
      <c r="AC65" s="96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96" si="14">AK66+AJ65</f>
        <v>85</v>
      </c>
      <c r="AL65" s="113">
        <f t="shared" si="8"/>
        <v>84575000</v>
      </c>
      <c r="AM65" s="20"/>
    </row>
    <row r="66" spans="1:39">
      <c r="K66" s="1" t="s">
        <v>306</v>
      </c>
      <c r="L66" s="1">
        <v>80000</v>
      </c>
      <c r="M66" s="122" t="s">
        <v>4307</v>
      </c>
      <c r="P66" s="115"/>
      <c r="Q66" s="170"/>
      <c r="R66" s="169"/>
      <c r="S66" s="169"/>
      <c r="T66" s="169"/>
      <c r="U66" s="169"/>
      <c r="V66" s="99"/>
      <c r="W66" s="32"/>
      <c r="X66" s="32"/>
      <c r="Y66" s="96"/>
      <c r="Z66" s="96"/>
      <c r="AA66" s="96"/>
      <c r="AB66" s="96"/>
      <c r="AC66" s="96"/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4"/>
        <v>83</v>
      </c>
      <c r="AL66" s="113">
        <f t="shared" si="8"/>
        <v>1079000000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307</v>
      </c>
      <c r="L67" s="1">
        <v>150000</v>
      </c>
      <c r="M67" s="122" t="s">
        <v>4308</v>
      </c>
      <c r="P67" s="115"/>
      <c r="Q67" s="170"/>
      <c r="R67" s="169"/>
      <c r="S67" s="169"/>
      <c r="T67" s="169"/>
      <c r="U67" s="169"/>
      <c r="V67" s="99"/>
      <c r="W67" s="32"/>
      <c r="X67" s="32"/>
      <c r="Y67" s="96"/>
      <c r="Z67" s="96"/>
      <c r="AA67" s="96"/>
      <c r="AB67" s="96"/>
      <c r="AC67" s="96"/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4"/>
        <v>81</v>
      </c>
      <c r="AL67" s="113">
        <f t="shared" si="8"/>
        <v>-251100000</v>
      </c>
      <c r="AM67" s="20"/>
    </row>
    <row r="68" spans="1:39">
      <c r="F68" t="s">
        <v>4108</v>
      </c>
      <c r="G68" t="s">
        <v>4103</v>
      </c>
      <c r="K68" s="31" t="s">
        <v>308</v>
      </c>
      <c r="L68" s="1">
        <v>300000</v>
      </c>
      <c r="M68" s="190" t="s">
        <v>4309</v>
      </c>
      <c r="P68" s="115"/>
      <c r="Q68" s="113">
        <f>SUM(N40:N47)-SUM(Q44:Q67)</f>
        <v>-22205314.599999964</v>
      </c>
      <c r="R68" s="112"/>
      <c r="S68" s="112"/>
      <c r="T68" s="112"/>
      <c r="U68" s="169"/>
      <c r="V68" s="99" t="s">
        <v>25</v>
      </c>
      <c r="W68" s="32"/>
      <c r="X68" s="32"/>
      <c r="Y68" s="96"/>
      <c r="Z68" s="96"/>
      <c r="AA68" s="96"/>
      <c r="AB68" s="96"/>
      <c r="AC68" s="96"/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4"/>
        <v>78</v>
      </c>
      <c r="AL68" s="113">
        <f t="shared" si="8"/>
        <v>3559920000</v>
      </c>
      <c r="AM68" s="20"/>
    </row>
    <row r="69" spans="1:39">
      <c r="F69" t="s">
        <v>4109</v>
      </c>
      <c r="G69" t="s">
        <v>4105</v>
      </c>
      <c r="K69" s="31" t="s">
        <v>309</v>
      </c>
      <c r="L69" s="1">
        <v>100000</v>
      </c>
      <c r="M69" s="191" t="s">
        <v>4312</v>
      </c>
      <c r="P69" s="115"/>
      <c r="Q69" s="26"/>
      <c r="R69" s="185"/>
      <c r="S69" s="185"/>
      <c r="T69" t="s">
        <v>25</v>
      </c>
      <c r="U69" s="96" t="s">
        <v>25</v>
      </c>
      <c r="V69" s="96" t="s">
        <v>25</v>
      </c>
      <c r="Y69" s="96"/>
      <c r="Z69" s="96"/>
      <c r="AA69" s="96"/>
      <c r="AB69" s="96"/>
      <c r="AC69" s="96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4"/>
        <v>77</v>
      </c>
      <c r="AL69" s="113">
        <f t="shared" si="8"/>
        <v>2579500000</v>
      </c>
      <c r="AM69" s="20"/>
    </row>
    <row r="70" spans="1:39">
      <c r="G70" t="s">
        <v>4106</v>
      </c>
      <c r="K70" s="31" t="s">
        <v>310</v>
      </c>
      <c r="L70" s="1">
        <v>200000</v>
      </c>
      <c r="M70" s="122" t="s">
        <v>4323</v>
      </c>
      <c r="P70" s="115"/>
      <c r="R70" t="s">
        <v>25</v>
      </c>
      <c r="T70" t="s">
        <v>25</v>
      </c>
      <c r="U70" s="96" t="s">
        <v>25</v>
      </c>
      <c r="V70" s="96" t="s">
        <v>25</v>
      </c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4"/>
        <v>76</v>
      </c>
      <c r="AL70" s="117">
        <f t="shared" si="8"/>
        <v>912000000</v>
      </c>
      <c r="AM70" s="20"/>
    </row>
    <row r="71" spans="1:39">
      <c r="G71" t="s">
        <v>4107</v>
      </c>
      <c r="K71" s="18" t="s">
        <v>311</v>
      </c>
      <c r="L71" s="18">
        <v>300000</v>
      </c>
      <c r="M71" s="122" t="s">
        <v>4453</v>
      </c>
      <c r="O71" s="96"/>
      <c r="P71" s="115"/>
      <c r="Q71" t="s">
        <v>25</v>
      </c>
      <c r="R71" t="s">
        <v>25</v>
      </c>
      <c r="T71" t="s">
        <v>25</v>
      </c>
      <c r="U71" s="96" t="s">
        <v>25</v>
      </c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4"/>
        <v>75</v>
      </c>
      <c r="AL71" s="117">
        <f t="shared" si="8"/>
        <v>1162500000</v>
      </c>
      <c r="AM71" s="20"/>
    </row>
    <row r="72" spans="1:39">
      <c r="G72" t="s">
        <v>4111</v>
      </c>
      <c r="K72" s="32" t="s">
        <v>312</v>
      </c>
      <c r="L72" s="1">
        <v>200000</v>
      </c>
      <c r="M72" s="96" t="s">
        <v>4452</v>
      </c>
      <c r="N72" s="96"/>
      <c r="O72" s="96"/>
      <c r="P72" s="115"/>
      <c r="Q72" t="s">
        <v>25</v>
      </c>
      <c r="S72" t="s">
        <v>25</v>
      </c>
      <c r="T72" t="s">
        <v>25</v>
      </c>
      <c r="U72" s="96" t="s">
        <v>25</v>
      </c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4"/>
        <v>71</v>
      </c>
      <c r="AL72" s="117">
        <f t="shared" si="8"/>
        <v>10650000</v>
      </c>
      <c r="AM72" s="20"/>
    </row>
    <row r="73" spans="1:39">
      <c r="G73" t="s">
        <v>4110</v>
      </c>
      <c r="K73" s="32" t="s">
        <v>313</v>
      </c>
      <c r="L73" s="1">
        <v>20000</v>
      </c>
      <c r="M73" s="96"/>
      <c r="N73" s="96"/>
      <c r="O73" s="96"/>
      <c r="P73" s="115"/>
      <c r="Q73" s="96">
        <f>O41+O42+O19+O24-O52</f>
        <v>1089965</v>
      </c>
      <c r="R73" s="113">
        <f>Q73*P41</f>
        <v>189980899.5</v>
      </c>
      <c r="S73" t="s">
        <v>25</v>
      </c>
      <c r="T73" t="s">
        <v>25</v>
      </c>
      <c r="U73" s="96" t="s">
        <v>25</v>
      </c>
      <c r="V73" t="s">
        <v>25</v>
      </c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4"/>
        <v>70</v>
      </c>
      <c r="AL73" s="182">
        <f t="shared" si="8"/>
        <v>2030000000</v>
      </c>
      <c r="AM73" s="181" t="s">
        <v>4195</v>
      </c>
    </row>
    <row r="74" spans="1:39">
      <c r="K74" s="32" t="s">
        <v>315</v>
      </c>
      <c r="L74" s="1">
        <v>50000</v>
      </c>
      <c r="M74" s="96"/>
      <c r="N74" s="96"/>
      <c r="O74" s="96"/>
      <c r="P74" s="115"/>
      <c r="Q74" t="s">
        <v>4286</v>
      </c>
      <c r="R74" t="s">
        <v>4283</v>
      </c>
      <c r="U74" s="96" t="s">
        <v>25</v>
      </c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4"/>
        <v>55</v>
      </c>
      <c r="AL74" s="117">
        <f t="shared" si="8"/>
        <v>-7150000</v>
      </c>
      <c r="AM74" s="20" t="s">
        <v>4221</v>
      </c>
    </row>
    <row r="75" spans="1:39">
      <c r="K75" s="32" t="s">
        <v>316</v>
      </c>
      <c r="L75" s="1">
        <v>90000</v>
      </c>
      <c r="M75" s="96"/>
      <c r="N75" s="96"/>
      <c r="O75" s="96"/>
      <c r="P75" s="115"/>
      <c r="R75" t="s">
        <v>25</v>
      </c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4"/>
        <v>48</v>
      </c>
      <c r="AL75" s="117">
        <f>AI75*AK75</f>
        <v>11136000</v>
      </c>
      <c r="AM75" s="20" t="s">
        <v>4277</v>
      </c>
    </row>
    <row r="76" spans="1:39">
      <c r="K76" s="32" t="s">
        <v>317</v>
      </c>
      <c r="L76" s="1">
        <v>50000</v>
      </c>
      <c r="M76" s="96"/>
      <c r="N76" s="96"/>
      <c r="O76" s="96"/>
      <c r="P76" s="115"/>
      <c r="U76" s="96" t="s">
        <v>25</v>
      </c>
      <c r="AG76" s="20">
        <v>56</v>
      </c>
      <c r="AH76" s="117" t="s">
        <v>4288</v>
      </c>
      <c r="AI76" s="117">
        <v>-170000</v>
      </c>
      <c r="AJ76" s="20">
        <v>3</v>
      </c>
      <c r="AK76" s="99">
        <f t="shared" si="14"/>
        <v>46</v>
      </c>
      <c r="AL76" s="117">
        <f t="shared" si="8"/>
        <v>-7820000</v>
      </c>
      <c r="AM76" s="20"/>
    </row>
    <row r="77" spans="1:39">
      <c r="K77" s="32" t="s">
        <v>327</v>
      </c>
      <c r="L77" s="1">
        <v>150000</v>
      </c>
      <c r="M77" s="96"/>
      <c r="N77" s="96"/>
      <c r="P77" s="115"/>
      <c r="Q77" t="s">
        <v>950</v>
      </c>
      <c r="R77">
        <v>6.3E-3</v>
      </c>
      <c r="T77" t="s">
        <v>25</v>
      </c>
      <c r="X77" s="115"/>
      <c r="AG77" s="20">
        <v>57</v>
      </c>
      <c r="AH77" s="117" t="s">
        <v>4302</v>
      </c>
      <c r="AI77" s="117">
        <v>-300000</v>
      </c>
      <c r="AJ77" s="20">
        <v>3</v>
      </c>
      <c r="AK77" s="99">
        <f t="shared" si="14"/>
        <v>43</v>
      </c>
      <c r="AL77" s="117">
        <f t="shared" si="8"/>
        <v>-12900000</v>
      </c>
      <c r="AM77" s="20"/>
    </row>
    <row r="78" spans="1:39">
      <c r="K78" s="32" t="s">
        <v>318</v>
      </c>
      <c r="L78" s="1">
        <v>15000</v>
      </c>
      <c r="N78" s="96"/>
      <c r="P78" s="115"/>
      <c r="Q78" t="s">
        <v>61</v>
      </c>
      <c r="R78">
        <v>4.8999999999999998E-3</v>
      </c>
      <c r="T78" t="s">
        <v>4457</v>
      </c>
      <c r="X78" s="163"/>
      <c r="AD78" s="115"/>
      <c r="AG78" s="20">
        <v>58</v>
      </c>
      <c r="AH78" s="117" t="s">
        <v>4319</v>
      </c>
      <c r="AI78" s="117">
        <v>-11400000</v>
      </c>
      <c r="AJ78" s="20">
        <v>13</v>
      </c>
      <c r="AK78" s="99">
        <f t="shared" si="14"/>
        <v>40</v>
      </c>
      <c r="AL78" s="117">
        <f t="shared" si="8"/>
        <v>-456000000</v>
      </c>
      <c r="AM78" s="20"/>
    </row>
    <row r="79" spans="1:39">
      <c r="K79" s="32" t="s">
        <v>319</v>
      </c>
      <c r="L79" s="1">
        <v>20000</v>
      </c>
      <c r="N79" s="96"/>
      <c r="P79" s="115"/>
      <c r="Q79" t="s">
        <v>6</v>
      </c>
      <c r="R79">
        <f>R77+R78</f>
        <v>1.12E-2</v>
      </c>
      <c r="X79" s="115"/>
      <c r="AD79" s="115"/>
      <c r="AE79" s="115"/>
      <c r="AG79" s="20">
        <v>59</v>
      </c>
      <c r="AH79" s="117" t="s">
        <v>4383</v>
      </c>
      <c r="AI79" s="117">
        <v>-10000000</v>
      </c>
      <c r="AJ79" s="20">
        <v>1</v>
      </c>
      <c r="AK79" s="99">
        <f t="shared" si="14"/>
        <v>27</v>
      </c>
      <c r="AL79" s="117">
        <f t="shared" si="8"/>
        <v>-270000000</v>
      </c>
      <c r="AM79" s="20"/>
    </row>
    <row r="80" spans="1:39">
      <c r="K80" s="32" t="s">
        <v>320</v>
      </c>
      <c r="L80" s="1">
        <v>40000</v>
      </c>
      <c r="N80" s="96"/>
      <c r="P80" s="115"/>
      <c r="X80" s="115"/>
      <c r="AD80" s="115"/>
      <c r="AE80" s="115"/>
      <c r="AG80" s="20">
        <v>60</v>
      </c>
      <c r="AH80" s="117" t="s">
        <v>4384</v>
      </c>
      <c r="AI80" s="117">
        <v>-2450000</v>
      </c>
      <c r="AJ80" s="20">
        <v>5</v>
      </c>
      <c r="AK80" s="99">
        <f t="shared" si="14"/>
        <v>26</v>
      </c>
      <c r="AL80" s="117">
        <f t="shared" si="8"/>
        <v>-63700000</v>
      </c>
      <c r="AM80" s="20"/>
    </row>
    <row r="81" spans="11:51">
      <c r="K81" s="32" t="s">
        <v>322</v>
      </c>
      <c r="L81" s="1">
        <v>150000</v>
      </c>
      <c r="N81" s="96"/>
      <c r="P81" s="115"/>
      <c r="X81" s="115"/>
      <c r="AD81" s="115"/>
      <c r="AE81" s="115"/>
      <c r="AG81" s="20">
        <v>61</v>
      </c>
      <c r="AH81" s="117" t="s">
        <v>4408</v>
      </c>
      <c r="AI81" s="117">
        <v>-456081</v>
      </c>
      <c r="AJ81" s="20">
        <v>1</v>
      </c>
      <c r="AK81" s="99">
        <f t="shared" si="14"/>
        <v>21</v>
      </c>
      <c r="AL81" s="117">
        <f t="shared" si="8"/>
        <v>-9577701</v>
      </c>
      <c r="AM81" s="20"/>
    </row>
    <row r="82" spans="11:51">
      <c r="K82" s="32" t="s">
        <v>324</v>
      </c>
      <c r="L82" s="1">
        <v>75000</v>
      </c>
      <c r="P82" s="115"/>
      <c r="X82" s="115"/>
      <c r="Y82" s="115"/>
      <c r="Z82" s="115"/>
      <c r="AA82" s="115"/>
      <c r="AB82" s="115"/>
      <c r="AC82" s="115"/>
      <c r="AD82" s="115"/>
      <c r="AE82" s="115"/>
      <c r="AG82" s="20">
        <v>62</v>
      </c>
      <c r="AH82" s="117" t="s">
        <v>4411</v>
      </c>
      <c r="AI82" s="117">
        <v>-500000</v>
      </c>
      <c r="AJ82" s="20">
        <v>2</v>
      </c>
      <c r="AK82" s="99">
        <f t="shared" si="14"/>
        <v>20</v>
      </c>
      <c r="AL82" s="117">
        <f t="shared" si="8"/>
        <v>-10000000</v>
      </c>
      <c r="AM82" s="20"/>
      <c r="AN82" t="s">
        <v>25</v>
      </c>
      <c r="AP82" t="s">
        <v>25</v>
      </c>
      <c r="AQ82" t="s">
        <v>25</v>
      </c>
      <c r="AV82" t="s">
        <v>25</v>
      </c>
    </row>
    <row r="83" spans="11:51">
      <c r="K83" s="32" t="s">
        <v>314</v>
      </c>
      <c r="L83" s="1">
        <v>140000</v>
      </c>
      <c r="P83" s="115"/>
      <c r="X83" s="115"/>
      <c r="Y83" s="128"/>
      <c r="Z83" s="115"/>
      <c r="AA83" s="115"/>
      <c r="AB83" s="115"/>
      <c r="AC83" s="128"/>
      <c r="AD83" s="115"/>
      <c r="AE83" s="115"/>
      <c r="AG83" s="20">
        <v>63</v>
      </c>
      <c r="AH83" s="117" t="s">
        <v>4432</v>
      </c>
      <c r="AI83" s="117">
        <v>-6234370</v>
      </c>
      <c r="AJ83" s="20">
        <v>3</v>
      </c>
      <c r="AK83" s="99">
        <f t="shared" si="14"/>
        <v>18</v>
      </c>
      <c r="AL83" s="117">
        <f t="shared" si="8"/>
        <v>-112218660</v>
      </c>
      <c r="AM83" s="20"/>
    </row>
    <row r="84" spans="11:51">
      <c r="K84" s="2" t="s">
        <v>478</v>
      </c>
      <c r="L84" s="3">
        <v>1083333</v>
      </c>
      <c r="P84" s="128"/>
      <c r="Q84" s="201" t="s">
        <v>4505</v>
      </c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4443</v>
      </c>
      <c r="AI84" s="117">
        <v>1950957</v>
      </c>
      <c r="AJ84" s="20">
        <v>4</v>
      </c>
      <c r="AK84" s="99">
        <f t="shared" si="14"/>
        <v>15</v>
      </c>
      <c r="AL84" s="117">
        <f t="shared" si="8"/>
        <v>29264355</v>
      </c>
      <c r="AM84" s="20"/>
      <c r="AY84" t="s">
        <v>25</v>
      </c>
    </row>
    <row r="85" spans="11:51">
      <c r="K85" s="2"/>
      <c r="L85" s="3"/>
      <c r="P85" s="128"/>
      <c r="Q85" s="185"/>
      <c r="R85" s="185"/>
      <c r="S85" s="115"/>
      <c r="X85" s="115"/>
      <c r="Y85" s="128"/>
      <c r="Z85" s="115"/>
      <c r="AA85" s="115"/>
      <c r="AB85" s="115"/>
      <c r="AC85" s="128"/>
      <c r="AD85" s="115"/>
      <c r="AE85" s="115"/>
      <c r="AG85" s="20">
        <v>65</v>
      </c>
      <c r="AH85" s="117" t="s">
        <v>4482</v>
      </c>
      <c r="AI85" s="117">
        <v>600000</v>
      </c>
      <c r="AJ85" s="20">
        <v>5</v>
      </c>
      <c r="AK85" s="99">
        <f t="shared" si="14"/>
        <v>11</v>
      </c>
      <c r="AL85" s="117">
        <f t="shared" si="8"/>
        <v>6600000</v>
      </c>
      <c r="AM85" s="20"/>
      <c r="AU85" t="s">
        <v>25</v>
      </c>
    </row>
    <row r="86" spans="11:51">
      <c r="K86" s="2"/>
      <c r="L86" s="3"/>
      <c r="P86" s="115"/>
      <c r="Q86" s="115"/>
      <c r="R86" s="115"/>
      <c r="S86" s="115"/>
      <c r="X86" s="115"/>
      <c r="Y86" s="128"/>
      <c r="Z86" s="115"/>
      <c r="AA86" s="115"/>
      <c r="AB86" s="115"/>
      <c r="AC86" s="128"/>
      <c r="AD86" s="115"/>
      <c r="AE86" s="115"/>
      <c r="AG86" s="20">
        <v>66</v>
      </c>
      <c r="AH86" s="117" t="s">
        <v>4508</v>
      </c>
      <c r="AI86" s="117">
        <v>7500000</v>
      </c>
      <c r="AJ86" s="20">
        <v>2</v>
      </c>
      <c r="AK86" s="99">
        <f t="shared" si="14"/>
        <v>6</v>
      </c>
      <c r="AL86" s="117">
        <f t="shared" si="8"/>
        <v>45000000</v>
      </c>
      <c r="AM86" s="20"/>
    </row>
    <row r="87" spans="11:51">
      <c r="K87" s="2" t="s">
        <v>6</v>
      </c>
      <c r="L87" s="3">
        <f>SUM(L64:L85)</f>
        <v>3383333</v>
      </c>
      <c r="Q87" s="115"/>
      <c r="R87" s="115"/>
      <c r="S87" s="115"/>
      <c r="X87" s="115"/>
      <c r="Y87" s="128"/>
      <c r="Z87" s="115"/>
      <c r="AA87" s="115"/>
      <c r="AB87" s="115"/>
      <c r="AC87" s="128"/>
      <c r="AD87" s="115"/>
      <c r="AE87" s="115"/>
      <c r="AG87" s="20">
        <v>67</v>
      </c>
      <c r="AH87" s="117" t="s">
        <v>4527</v>
      </c>
      <c r="AI87" s="117">
        <v>-587816</v>
      </c>
      <c r="AJ87" s="20">
        <v>3</v>
      </c>
      <c r="AK87" s="99">
        <f t="shared" si="14"/>
        <v>4</v>
      </c>
      <c r="AL87" s="117">
        <f t="shared" si="8"/>
        <v>-2351264</v>
      </c>
      <c r="AM87" s="20"/>
      <c r="AP87" t="s">
        <v>25</v>
      </c>
      <c r="AT87" s="96" t="s">
        <v>25</v>
      </c>
    </row>
    <row r="88" spans="11:51">
      <c r="K88" s="2" t="s">
        <v>328</v>
      </c>
      <c r="L88" s="3">
        <f>L87/30</f>
        <v>112777.76666666666</v>
      </c>
      <c r="O88" s="115"/>
      <c r="Q88" s="115"/>
      <c r="R88" s="115"/>
      <c r="S88" s="115"/>
      <c r="X88" s="115"/>
      <c r="Y88" s="128"/>
      <c r="Z88" s="115"/>
      <c r="AA88" s="115"/>
      <c r="AB88" s="115"/>
      <c r="AC88" s="128"/>
      <c r="AD88" s="115"/>
      <c r="AE88" s="115"/>
      <c r="AG88" s="20">
        <v>68</v>
      </c>
      <c r="AH88" s="117" t="s">
        <v>4526</v>
      </c>
      <c r="AI88" s="117">
        <v>-907489</v>
      </c>
      <c r="AJ88" s="20">
        <v>1</v>
      </c>
      <c r="AK88" s="99">
        <f t="shared" si="14"/>
        <v>1</v>
      </c>
      <c r="AL88" s="117">
        <f t="shared" si="8"/>
        <v>-907489</v>
      </c>
      <c r="AM88" s="20"/>
      <c r="AO88" t="s">
        <v>25</v>
      </c>
      <c r="AT88" s="96" t="s">
        <v>25</v>
      </c>
    </row>
    <row r="89" spans="11:51">
      <c r="O89" s="115"/>
      <c r="Q89" s="115"/>
      <c r="R89" s="115"/>
      <c r="S89" s="115"/>
      <c r="Y89" s="115"/>
      <c r="Z89" s="115"/>
      <c r="AA89" s="115"/>
      <c r="AB89" s="115"/>
      <c r="AC89" s="115"/>
      <c r="AD89" s="115"/>
      <c r="AE89" s="115"/>
      <c r="AG89" s="20"/>
      <c r="AH89" s="117"/>
      <c r="AI89" s="117"/>
      <c r="AJ89" s="20"/>
      <c r="AK89" s="99">
        <f t="shared" si="14"/>
        <v>0</v>
      </c>
      <c r="AL89" s="117">
        <f t="shared" si="8"/>
        <v>0</v>
      </c>
      <c r="AM89" s="20"/>
      <c r="AP89" t="s">
        <v>25</v>
      </c>
      <c r="AU89" t="s">
        <v>25</v>
      </c>
    </row>
    <row r="90" spans="11:51">
      <c r="Q90" s="115"/>
      <c r="R90" s="115"/>
      <c r="S90" s="115"/>
      <c r="Y90" s="115"/>
      <c r="Z90" s="115"/>
      <c r="AA90" s="115"/>
      <c r="AB90" s="115"/>
      <c r="AC90" s="115"/>
      <c r="AE90" s="115"/>
      <c r="AG90" s="20"/>
      <c r="AH90" s="117"/>
      <c r="AI90" s="117"/>
      <c r="AJ90" s="20"/>
      <c r="AK90" s="99">
        <f t="shared" si="14"/>
        <v>0</v>
      </c>
      <c r="AL90" s="117">
        <f t="shared" si="8"/>
        <v>0</v>
      </c>
      <c r="AM90" s="20"/>
      <c r="AO90" t="s">
        <v>25</v>
      </c>
    </row>
    <row r="91" spans="11:51">
      <c r="Q91" s="115"/>
      <c r="R91" s="115"/>
      <c r="S91" s="115"/>
      <c r="Y91" s="115"/>
      <c r="Z91" s="115"/>
      <c r="AG91" s="20"/>
      <c r="AH91" s="117"/>
      <c r="AI91" s="117"/>
      <c r="AJ91" s="20"/>
      <c r="AK91" s="99">
        <f t="shared" si="14"/>
        <v>0</v>
      </c>
      <c r="AL91" s="117">
        <f t="shared" si="8"/>
        <v>0</v>
      </c>
      <c r="AM91" s="20"/>
      <c r="AS91" s="96" t="s">
        <v>25</v>
      </c>
    </row>
    <row r="92" spans="11:51">
      <c r="Q92" s="115"/>
      <c r="R92" s="115"/>
      <c r="S92" s="115"/>
      <c r="Y92" s="115"/>
      <c r="Z92" s="115"/>
      <c r="AG92" s="20"/>
      <c r="AH92" s="117"/>
      <c r="AI92" s="117"/>
      <c r="AJ92" s="20"/>
      <c r="AK92" s="99">
        <f t="shared" si="14"/>
        <v>0</v>
      </c>
      <c r="AL92" s="117">
        <f t="shared" si="8"/>
        <v>0</v>
      </c>
      <c r="AM92" s="20"/>
    </row>
    <row r="93" spans="11:51">
      <c r="Q93" s="115"/>
      <c r="R93" s="115"/>
      <c r="S93" s="115"/>
      <c r="Y93" s="115"/>
      <c r="Z93" s="115"/>
      <c r="AG93" s="20"/>
      <c r="AH93" s="117"/>
      <c r="AI93" s="117"/>
      <c r="AJ93" s="20"/>
      <c r="AK93" s="99">
        <f t="shared" si="14"/>
        <v>0</v>
      </c>
      <c r="AL93" s="117">
        <f t="shared" si="8"/>
        <v>0</v>
      </c>
      <c r="AM93" s="20"/>
    </row>
    <row r="94" spans="11:51">
      <c r="K94" s="48" t="s">
        <v>788</v>
      </c>
      <c r="L94" s="48" t="s">
        <v>476</v>
      </c>
      <c r="Q94" s="115"/>
      <c r="R94" s="115"/>
      <c r="S94" s="115"/>
      <c r="AG94" s="20"/>
      <c r="AH94" s="117"/>
      <c r="AI94" s="117"/>
      <c r="AJ94" s="20"/>
      <c r="AK94" s="99">
        <f t="shared" si="14"/>
        <v>0</v>
      </c>
      <c r="AL94" s="117">
        <f t="shared" si="8"/>
        <v>0</v>
      </c>
      <c r="AM94" s="20"/>
    </row>
    <row r="95" spans="11:51">
      <c r="K95" s="47">
        <v>700000</v>
      </c>
      <c r="L95" s="48" t="s">
        <v>1040</v>
      </c>
      <c r="Q95" s="115"/>
      <c r="R95" s="115"/>
      <c r="S95" s="115"/>
      <c r="AG95" s="99"/>
      <c r="AH95" s="113"/>
      <c r="AI95" s="113"/>
      <c r="AJ95" s="99"/>
      <c r="AK95" s="99">
        <f t="shared" si="14"/>
        <v>0</v>
      </c>
      <c r="AL95" s="117">
        <f t="shared" si="8"/>
        <v>0</v>
      </c>
      <c r="AM95" s="99"/>
    </row>
    <row r="96" spans="11:51">
      <c r="K96" s="47">
        <v>500000</v>
      </c>
      <c r="L96" s="48" t="s">
        <v>479</v>
      </c>
      <c r="Q96" s="115"/>
      <c r="R96" s="115"/>
      <c r="S96" s="115"/>
      <c r="AG96" s="99"/>
      <c r="AH96" s="113"/>
      <c r="AI96" s="113"/>
      <c r="AJ96" s="99"/>
      <c r="AK96" s="99">
        <f t="shared" si="14"/>
        <v>0</v>
      </c>
      <c r="AL96" s="117">
        <f t="shared" si="8"/>
        <v>0</v>
      </c>
      <c r="AM96" s="99"/>
    </row>
    <row r="97" spans="8:39">
      <c r="K97" s="47">
        <v>180000</v>
      </c>
      <c r="L97" s="48" t="s">
        <v>558</v>
      </c>
      <c r="Q97" s="115"/>
      <c r="R97" s="115"/>
      <c r="S97" s="115"/>
      <c r="AG97" s="99"/>
      <c r="AH97" s="99"/>
      <c r="AI97" s="95">
        <f>SUM(AI20:AI95)</f>
        <v>199739100</v>
      </c>
      <c r="AJ97" s="99"/>
      <c r="AK97" s="99"/>
      <c r="AL97" s="95">
        <f>SUM(AL20:AL96)</f>
        <v>22184629437</v>
      </c>
      <c r="AM97" s="95">
        <f>AL97*AM100/31</f>
        <v>14312664.152903225</v>
      </c>
    </row>
    <row r="98" spans="8:39">
      <c r="H98" s="96"/>
      <c r="K98" s="47">
        <v>0</v>
      </c>
      <c r="L98" s="48" t="s">
        <v>784</v>
      </c>
      <c r="Q98" s="115"/>
      <c r="R98" s="115"/>
      <c r="S98" s="115"/>
      <c r="T98" s="115"/>
      <c r="U98" s="115"/>
      <c r="AG98" s="99"/>
      <c r="AH98" s="99"/>
      <c r="AI98" s="99" t="s">
        <v>4064</v>
      </c>
      <c r="AJ98" s="99"/>
      <c r="AK98" s="99"/>
      <c r="AL98" s="99" t="s">
        <v>284</v>
      </c>
      <c r="AM98" s="99" t="s">
        <v>944</v>
      </c>
    </row>
    <row r="99" spans="8:39">
      <c r="K99" s="47">
        <v>0</v>
      </c>
      <c r="L99" s="48" t="s">
        <v>785</v>
      </c>
      <c r="Q99" s="115"/>
      <c r="R99" s="115"/>
      <c r="S99" s="115"/>
      <c r="T99" s="115"/>
      <c r="U99" s="115"/>
      <c r="AG99" s="99"/>
      <c r="AH99" s="99"/>
      <c r="AI99" s="99"/>
      <c r="AJ99" s="99"/>
      <c r="AK99" s="99"/>
      <c r="AL99" s="99"/>
      <c r="AM99" s="99"/>
    </row>
    <row r="100" spans="8:39">
      <c r="K100" s="47">
        <v>500000</v>
      </c>
      <c r="L100" s="48" t="s">
        <v>786</v>
      </c>
      <c r="Q100" s="55"/>
      <c r="R100" s="186"/>
      <c r="S100" s="115"/>
      <c r="T100" s="115"/>
      <c r="U100" s="115"/>
      <c r="AG100" s="99"/>
      <c r="AH100" s="99"/>
      <c r="AI100" s="99"/>
      <c r="AJ100" s="99"/>
      <c r="AK100" s="99"/>
      <c r="AL100" s="99" t="s">
        <v>4065</v>
      </c>
      <c r="AM100" s="99">
        <v>0.02</v>
      </c>
    </row>
    <row r="101" spans="8:39">
      <c r="K101" s="47">
        <v>75000</v>
      </c>
      <c r="L101" s="48" t="s">
        <v>787</v>
      </c>
      <c r="Q101" s="55"/>
      <c r="R101" s="186"/>
      <c r="S101" s="115"/>
      <c r="T101" s="115"/>
      <c r="U101" s="115"/>
      <c r="AG101" s="99"/>
      <c r="AH101" s="99"/>
      <c r="AI101" s="99"/>
      <c r="AJ101" s="99"/>
      <c r="AK101" s="99"/>
      <c r="AL101" s="99"/>
      <c r="AM101" s="99"/>
    </row>
    <row r="102" spans="8:39">
      <c r="K102" s="47">
        <v>0</v>
      </c>
      <c r="L102" s="48" t="s">
        <v>789</v>
      </c>
      <c r="Q102" s="26"/>
      <c r="R102" s="186"/>
      <c r="S102" s="115"/>
      <c r="AG102" s="99"/>
      <c r="AH102" s="99" t="s">
        <v>4066</v>
      </c>
      <c r="AI102" s="95">
        <f>AI97+AM97</f>
        <v>214051764.15290323</v>
      </c>
      <c r="AJ102" s="99"/>
      <c r="AK102" s="99"/>
      <c r="AL102" s="99"/>
      <c r="AM102" s="99"/>
    </row>
    <row r="103" spans="8:39">
      <c r="K103" s="47">
        <v>500000</v>
      </c>
      <c r="L103" s="48" t="s">
        <v>564</v>
      </c>
      <c r="Q103" s="55"/>
      <c r="R103" s="186"/>
      <c r="S103" s="122"/>
      <c r="AH103" t="s">
        <v>4069</v>
      </c>
      <c r="AI103" s="114">
        <f>SUM(N40:N46)-N42+N38</f>
        <v>207496119.00000003</v>
      </c>
    </row>
    <row r="104" spans="8:39">
      <c r="K104" s="47">
        <v>50000</v>
      </c>
      <c r="L104" s="48" t="s">
        <v>792</v>
      </c>
      <c r="Q104" s="55"/>
      <c r="R104" s="186"/>
      <c r="S104" s="115"/>
      <c r="AH104" t="s">
        <v>4143</v>
      </c>
      <c r="AI104" s="114">
        <f>AI103-AI97</f>
        <v>7757019.0000000298</v>
      </c>
    </row>
    <row r="105" spans="8:39">
      <c r="K105" s="47">
        <v>140000</v>
      </c>
      <c r="L105" s="48" t="s">
        <v>314</v>
      </c>
      <c r="Q105" s="122"/>
      <c r="R105" s="115"/>
      <c r="S105" s="115"/>
      <c r="AH105" t="s">
        <v>944</v>
      </c>
      <c r="AI105" s="114">
        <f>AM97</f>
        <v>14312664.152903225</v>
      </c>
    </row>
    <row r="106" spans="8:39">
      <c r="K106" s="47"/>
      <c r="L106" s="48" t="s">
        <v>25</v>
      </c>
      <c r="AH106" t="s">
        <v>4070</v>
      </c>
      <c r="AI106" s="114">
        <f>AI103-AI102</f>
        <v>-6555645.1529031992</v>
      </c>
    </row>
    <row r="107" spans="8:39">
      <c r="K107" s="47">
        <f>SUM(K95:K106)</f>
        <v>2645000</v>
      </c>
      <c r="L107" s="48" t="s">
        <v>6</v>
      </c>
    </row>
    <row r="108" spans="8:39">
      <c r="Q108" s="22"/>
      <c r="AI108" t="s">
        <v>25</v>
      </c>
    </row>
    <row r="113" spans="33:42">
      <c r="AG113" s="99" t="s">
        <v>3644</v>
      </c>
      <c r="AH113" s="99" t="s">
        <v>180</v>
      </c>
      <c r="AI113" s="99" t="s">
        <v>267</v>
      </c>
      <c r="AJ113" s="99" t="s">
        <v>4063</v>
      </c>
      <c r="AK113" s="99" t="s">
        <v>4055</v>
      </c>
      <c r="AL113" s="99" t="s">
        <v>282</v>
      </c>
      <c r="AM113" s="99" t="s">
        <v>4320</v>
      </c>
    </row>
    <row r="114" spans="33:42">
      <c r="AG114" s="99">
        <v>1</v>
      </c>
      <c r="AH114" s="99" t="s">
        <v>3954</v>
      </c>
      <c r="AI114" s="117">
        <v>3555820</v>
      </c>
      <c r="AJ114" s="99">
        <v>2</v>
      </c>
      <c r="AK114" s="99">
        <f>AJ114+AK115</f>
        <v>135</v>
      </c>
      <c r="AL114" s="99">
        <f>AI114*AK114</f>
        <v>480035700</v>
      </c>
      <c r="AM114" s="99" t="s">
        <v>4345</v>
      </c>
    </row>
    <row r="115" spans="33:42">
      <c r="AG115" s="99">
        <v>2</v>
      </c>
      <c r="AH115" s="99" t="s">
        <v>4029</v>
      </c>
      <c r="AI115" s="117">
        <v>1720837</v>
      </c>
      <c r="AJ115" s="99">
        <v>51</v>
      </c>
      <c r="AK115" s="99">
        <f t="shared" ref="AK115:AK137" si="15">AJ115+AK116</f>
        <v>133</v>
      </c>
      <c r="AL115" s="99">
        <f t="shared" ref="AL115:AL137" si="16">AI115*AK115</f>
        <v>228871321</v>
      </c>
      <c r="AM115" s="99" t="s">
        <v>4346</v>
      </c>
    </row>
    <row r="116" spans="33:42">
      <c r="AG116" s="99">
        <v>3</v>
      </c>
      <c r="AH116" s="99" t="s">
        <v>4137</v>
      </c>
      <c r="AI116" s="117">
        <v>150000</v>
      </c>
      <c r="AJ116" s="99">
        <v>3</v>
      </c>
      <c r="AK116" s="99">
        <f t="shared" si="15"/>
        <v>82</v>
      </c>
      <c r="AL116" s="99">
        <f t="shared" si="16"/>
        <v>12300000</v>
      </c>
      <c r="AM116" s="99"/>
    </row>
    <row r="117" spans="33:42">
      <c r="AG117" s="99">
        <v>4</v>
      </c>
      <c r="AH117" s="99" t="s">
        <v>4152</v>
      </c>
      <c r="AI117" s="117">
        <v>-95000</v>
      </c>
      <c r="AJ117" s="99">
        <v>8</v>
      </c>
      <c r="AK117" s="99">
        <f t="shared" si="15"/>
        <v>79</v>
      </c>
      <c r="AL117" s="99">
        <f t="shared" si="16"/>
        <v>-7505000</v>
      </c>
      <c r="AM117" s="99"/>
    </row>
    <row r="118" spans="33:42">
      <c r="AG118" s="99">
        <v>5</v>
      </c>
      <c r="AH118" s="99" t="s">
        <v>4181</v>
      </c>
      <c r="AI118" s="117">
        <v>3150000</v>
      </c>
      <c r="AJ118" s="99">
        <v>16</v>
      </c>
      <c r="AK118" s="99">
        <f t="shared" si="15"/>
        <v>71</v>
      </c>
      <c r="AL118" s="99">
        <f t="shared" si="16"/>
        <v>223650000</v>
      </c>
      <c r="AM118" s="99"/>
    </row>
    <row r="119" spans="33:42">
      <c r="AG119" s="99">
        <v>6</v>
      </c>
      <c r="AH119" s="99" t="s">
        <v>4250</v>
      </c>
      <c r="AI119" s="117">
        <v>-65000</v>
      </c>
      <c r="AJ119" s="99">
        <v>1</v>
      </c>
      <c r="AK119" s="99">
        <f t="shared" si="15"/>
        <v>55</v>
      </c>
      <c r="AL119" s="99">
        <f t="shared" si="16"/>
        <v>-3575000</v>
      </c>
      <c r="AM119" s="99"/>
      <c r="AP119" t="s">
        <v>25</v>
      </c>
    </row>
    <row r="120" spans="33:42">
      <c r="AG120" s="99">
        <v>7</v>
      </c>
      <c r="AH120" s="99" t="s">
        <v>4347</v>
      </c>
      <c r="AI120" s="117">
        <v>-95000</v>
      </c>
      <c r="AJ120" s="99">
        <v>6</v>
      </c>
      <c r="AK120" s="99">
        <f t="shared" si="15"/>
        <v>54</v>
      </c>
      <c r="AL120" s="99">
        <f t="shared" si="16"/>
        <v>-5130000</v>
      </c>
      <c r="AM120" s="99"/>
      <c r="AN120" t="s">
        <v>25</v>
      </c>
    </row>
    <row r="121" spans="33:42">
      <c r="AG121" s="99">
        <v>8</v>
      </c>
      <c r="AH121" s="99" t="s">
        <v>4348</v>
      </c>
      <c r="AI121" s="117">
        <v>232000</v>
      </c>
      <c r="AJ121" s="99">
        <v>7</v>
      </c>
      <c r="AK121" s="99">
        <f t="shared" si="15"/>
        <v>48</v>
      </c>
      <c r="AL121" s="99">
        <f t="shared" si="16"/>
        <v>11136000</v>
      </c>
      <c r="AM121" s="99"/>
      <c r="AO121" t="s">
        <v>25</v>
      </c>
    </row>
    <row r="122" spans="33:42">
      <c r="AG122" s="99">
        <v>9</v>
      </c>
      <c r="AH122" s="99" t="s">
        <v>4319</v>
      </c>
      <c r="AI122" s="117">
        <v>13000000</v>
      </c>
      <c r="AJ122" s="99">
        <v>2</v>
      </c>
      <c r="AK122" s="99">
        <f t="shared" si="15"/>
        <v>41</v>
      </c>
      <c r="AL122" s="99">
        <f t="shared" si="16"/>
        <v>533000000</v>
      </c>
      <c r="AM122" s="99"/>
    </row>
    <row r="123" spans="33:42">
      <c r="AG123" s="99">
        <v>10</v>
      </c>
      <c r="AH123" s="99" t="s">
        <v>4349</v>
      </c>
      <c r="AI123" s="117">
        <v>10000000</v>
      </c>
      <c r="AJ123" s="99">
        <v>3</v>
      </c>
      <c r="AK123" s="99">
        <f t="shared" si="15"/>
        <v>39</v>
      </c>
      <c r="AL123" s="99">
        <f t="shared" si="16"/>
        <v>390000000</v>
      </c>
      <c r="AM123" s="99"/>
    </row>
    <row r="124" spans="33:42">
      <c r="AG124" s="99">
        <v>11</v>
      </c>
      <c r="AH124" s="99" t="s">
        <v>4332</v>
      </c>
      <c r="AI124" s="117">
        <v>3400000</v>
      </c>
      <c r="AJ124" s="99">
        <v>9</v>
      </c>
      <c r="AK124" s="99">
        <f t="shared" si="15"/>
        <v>36</v>
      </c>
      <c r="AL124" s="99">
        <f t="shared" si="16"/>
        <v>122400000</v>
      </c>
      <c r="AM124" s="99"/>
    </row>
    <row r="125" spans="33:42">
      <c r="AG125" s="99">
        <v>12</v>
      </c>
      <c r="AH125" s="99" t="s">
        <v>4383</v>
      </c>
      <c r="AI125" s="117">
        <v>-8736514</v>
      </c>
      <c r="AJ125" s="99">
        <v>1</v>
      </c>
      <c r="AK125" s="99">
        <f>AJ125+AK126</f>
        <v>27</v>
      </c>
      <c r="AL125" s="99">
        <f t="shared" si="16"/>
        <v>-235885878</v>
      </c>
      <c r="AM125" s="99"/>
    </row>
    <row r="126" spans="33:42">
      <c r="AG126" s="99">
        <v>13</v>
      </c>
      <c r="AH126" s="99" t="s">
        <v>4384</v>
      </c>
      <c r="AI126" s="117">
        <v>555000</v>
      </c>
      <c r="AJ126" s="99">
        <v>5</v>
      </c>
      <c r="AK126" s="99">
        <f t="shared" ref="AK126:AK136" si="17">AJ126+AK127</f>
        <v>26</v>
      </c>
      <c r="AL126" s="99">
        <f t="shared" si="16"/>
        <v>14430000</v>
      </c>
      <c r="AM126" s="99"/>
    </row>
    <row r="127" spans="33:42">
      <c r="AG127" s="99">
        <v>14</v>
      </c>
      <c r="AH127" s="99" t="s">
        <v>4408</v>
      </c>
      <c r="AI127" s="117">
        <v>-448308</v>
      </c>
      <c r="AJ127" s="99">
        <v>6</v>
      </c>
      <c r="AK127" s="99">
        <f t="shared" si="17"/>
        <v>21</v>
      </c>
      <c r="AL127" s="99">
        <f t="shared" si="16"/>
        <v>-9414468</v>
      </c>
      <c r="AM127" s="99"/>
    </row>
    <row r="128" spans="33:42">
      <c r="AG128" s="99">
        <v>15</v>
      </c>
      <c r="AH128" s="99" t="s">
        <v>4443</v>
      </c>
      <c r="AI128" s="117">
        <v>33225</v>
      </c>
      <c r="AJ128" s="99">
        <v>0</v>
      </c>
      <c r="AK128" s="99">
        <f t="shared" si="17"/>
        <v>15</v>
      </c>
      <c r="AL128" s="99">
        <f t="shared" si="16"/>
        <v>498375</v>
      </c>
      <c r="AM128" s="99"/>
    </row>
    <row r="129" spans="33:39">
      <c r="AG129" s="149">
        <v>16</v>
      </c>
      <c r="AH129" s="149" t="s">
        <v>4443</v>
      </c>
      <c r="AI129" s="195">
        <v>4098523</v>
      </c>
      <c r="AJ129" s="149">
        <v>2</v>
      </c>
      <c r="AK129" s="149">
        <f t="shared" si="17"/>
        <v>15</v>
      </c>
      <c r="AL129" s="149">
        <f t="shared" si="16"/>
        <v>61477845</v>
      </c>
      <c r="AM129" s="149" t="s">
        <v>657</v>
      </c>
    </row>
    <row r="130" spans="33:39">
      <c r="AG130" s="149">
        <v>17</v>
      </c>
      <c r="AH130" s="149" t="s">
        <v>4461</v>
      </c>
      <c r="AI130" s="195">
        <v>-1000000</v>
      </c>
      <c r="AJ130" s="149">
        <v>7</v>
      </c>
      <c r="AK130" s="149">
        <f t="shared" si="17"/>
        <v>13</v>
      </c>
      <c r="AL130" s="149">
        <f t="shared" si="16"/>
        <v>-13000000</v>
      </c>
      <c r="AM130" s="149" t="s">
        <v>657</v>
      </c>
    </row>
    <row r="131" spans="33:39">
      <c r="AG131" s="149">
        <v>18</v>
      </c>
      <c r="AH131" s="149" t="s">
        <v>4508</v>
      </c>
      <c r="AI131" s="195">
        <v>750000</v>
      </c>
      <c r="AJ131" s="149">
        <v>1</v>
      </c>
      <c r="AK131" s="149">
        <f t="shared" si="17"/>
        <v>6</v>
      </c>
      <c r="AL131" s="149">
        <f t="shared" si="16"/>
        <v>4500000</v>
      </c>
      <c r="AM131" s="149" t="s">
        <v>657</v>
      </c>
    </row>
    <row r="132" spans="33:39">
      <c r="AG132" s="208">
        <v>19</v>
      </c>
      <c r="AH132" s="208" t="s">
        <v>4524</v>
      </c>
      <c r="AI132" s="209">
        <v>-604152</v>
      </c>
      <c r="AJ132" s="208">
        <v>0</v>
      </c>
      <c r="AK132" s="208">
        <f t="shared" si="17"/>
        <v>5</v>
      </c>
      <c r="AL132" s="208">
        <f t="shared" si="16"/>
        <v>-3020760</v>
      </c>
      <c r="AM132" s="208" t="s">
        <v>657</v>
      </c>
    </row>
    <row r="133" spans="33:39">
      <c r="AG133" s="99">
        <v>20</v>
      </c>
      <c r="AH133" s="99" t="s">
        <v>4525</v>
      </c>
      <c r="AI133" s="117">
        <v>-587083</v>
      </c>
      <c r="AJ133" s="99">
        <v>4</v>
      </c>
      <c r="AK133" s="99">
        <f t="shared" si="17"/>
        <v>5</v>
      </c>
      <c r="AL133" s="99">
        <f t="shared" si="16"/>
        <v>-2935415</v>
      </c>
      <c r="AM133" s="99"/>
    </row>
    <row r="134" spans="33:39">
      <c r="AG134" s="208">
        <v>21</v>
      </c>
      <c r="AH134" s="208" t="s">
        <v>4526</v>
      </c>
      <c r="AI134" s="209">
        <v>-754351</v>
      </c>
      <c r="AJ134" s="208">
        <v>0</v>
      </c>
      <c r="AK134" s="208">
        <f t="shared" si="17"/>
        <v>1</v>
      </c>
      <c r="AL134" s="208">
        <f t="shared" si="16"/>
        <v>-754351</v>
      </c>
      <c r="AM134" s="208" t="s">
        <v>657</v>
      </c>
    </row>
    <row r="135" spans="33:39">
      <c r="AG135" s="99">
        <v>22</v>
      </c>
      <c r="AH135" s="99" t="s">
        <v>4526</v>
      </c>
      <c r="AI135" s="117">
        <v>-189619</v>
      </c>
      <c r="AJ135" s="99">
        <v>1</v>
      </c>
      <c r="AK135" s="99">
        <f t="shared" si="17"/>
        <v>1</v>
      </c>
      <c r="AL135" s="99">
        <f t="shared" si="16"/>
        <v>-189619</v>
      </c>
      <c r="AM135" s="99"/>
    </row>
    <row r="136" spans="33:39">
      <c r="AG136" s="99"/>
      <c r="AH136" s="99"/>
      <c r="AI136" s="99"/>
      <c r="AJ136" s="99"/>
      <c r="AK136" s="99">
        <f t="shared" si="17"/>
        <v>0</v>
      </c>
      <c r="AL136" s="99">
        <f t="shared" si="16"/>
        <v>0</v>
      </c>
      <c r="AM136" s="99"/>
    </row>
    <row r="137" spans="33:39">
      <c r="AG137" s="99"/>
      <c r="AH137" s="99"/>
      <c r="AI137" s="99"/>
      <c r="AJ137" s="99"/>
      <c r="AK137" s="99">
        <f t="shared" si="15"/>
        <v>0</v>
      </c>
      <c r="AL137" s="99">
        <f t="shared" si="16"/>
        <v>0</v>
      </c>
      <c r="AM137" s="99"/>
    </row>
    <row r="138" spans="33:39">
      <c r="AG138" s="99"/>
      <c r="AH138" s="99"/>
      <c r="AI138" s="99"/>
      <c r="AJ138" s="99"/>
      <c r="AK138" s="99"/>
      <c r="AL138" s="99"/>
      <c r="AM138" s="99"/>
    </row>
    <row r="139" spans="33:39">
      <c r="AG139" s="99"/>
      <c r="AH139" s="99"/>
      <c r="AI139" s="95">
        <f>SUM(AI114:AI138)</f>
        <v>28070378</v>
      </c>
      <c r="AJ139" s="99"/>
      <c r="AK139" s="99"/>
      <c r="AL139" s="99">
        <f>SUM(AL114:AL138)</f>
        <v>1800888750</v>
      </c>
      <c r="AM139" s="95">
        <f>AL139*AM100/31</f>
        <v>1161863.7096774194</v>
      </c>
    </row>
    <row r="140" spans="33:39">
      <c r="AI140" t="s">
        <v>4064</v>
      </c>
      <c r="AL140" t="s">
        <v>284</v>
      </c>
      <c r="AM140" t="s">
        <v>944</v>
      </c>
    </row>
    <row r="142" spans="33:39">
      <c r="AH142" t="s">
        <v>4066</v>
      </c>
      <c r="AI142" s="114">
        <f>AI139+AM139</f>
        <v>29232241.709677421</v>
      </c>
    </row>
    <row r="143" spans="33:39">
      <c r="AH143" t="s">
        <v>4069</v>
      </c>
      <c r="AI143" s="114">
        <f>SUM(N19:N24)+N33</f>
        <v>26524150.400000002</v>
      </c>
    </row>
    <row r="144" spans="33:39">
      <c r="AH144" t="s">
        <v>4143</v>
      </c>
      <c r="AI144" s="114">
        <f>AI143-AI139</f>
        <v>-1546227.5999999978</v>
      </c>
    </row>
    <row r="145" spans="34:35">
      <c r="AH145" t="s">
        <v>944</v>
      </c>
      <c r="AI145" s="114">
        <f>AM139</f>
        <v>1161863.7096774194</v>
      </c>
    </row>
    <row r="146" spans="34:35">
      <c r="AH146" t="s">
        <v>4070</v>
      </c>
      <c r="AI146" s="114">
        <f>AI144-AI145</f>
        <v>-2708091.3096774174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4:P25 S30 P20 S32 S6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3644</v>
      </c>
      <c r="B1" s="99" t="s">
        <v>180</v>
      </c>
      <c r="C1" s="99" t="s">
        <v>4292</v>
      </c>
      <c r="D1" s="99" t="s">
        <v>4293</v>
      </c>
      <c r="E1" s="99" t="s">
        <v>4294</v>
      </c>
      <c r="F1" s="99" t="s">
        <v>4295</v>
      </c>
      <c r="G1" s="74" t="s">
        <v>4296</v>
      </c>
      <c r="H1" s="74" t="s">
        <v>4488</v>
      </c>
      <c r="I1" s="74" t="s">
        <v>4327</v>
      </c>
      <c r="N1" s="99" t="s">
        <v>950</v>
      </c>
      <c r="O1" s="99">
        <v>6.3E-3</v>
      </c>
    </row>
    <row r="2" spans="1:25">
      <c r="A2" s="99">
        <v>1</v>
      </c>
      <c r="B2" s="99" t="s">
        <v>4181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4297</v>
      </c>
      <c r="G27" s="99" t="s">
        <v>4298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2018-11-27T10:36:40Z</dcterms:modified>
</cp:coreProperties>
</file>