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B27" i="51" l="1"/>
  <c r="D267" i="20"/>
  <c r="C267" i="20"/>
  <c r="B267" i="20"/>
  <c r="M111" i="18" l="1"/>
  <c r="L35" i="18" l="1"/>
  <c r="U112" i="18"/>
  <c r="W105" i="18" l="1"/>
  <c r="W106" i="18"/>
  <c r="W107" i="18"/>
  <c r="W108" i="18"/>
  <c r="W109" i="18"/>
  <c r="W110" i="18"/>
  <c r="W111" i="18"/>
  <c r="W104" i="18"/>
  <c r="AJ97" i="18"/>
  <c r="N51" i="18" l="1"/>
  <c r="AS37" i="18" l="1"/>
  <c r="R144" i="18" l="1"/>
  <c r="R153" i="18"/>
  <c r="R135" i="18"/>
  <c r="R127" i="18"/>
  <c r="T128" i="18" l="1"/>
  <c r="T87" i="18"/>
  <c r="S37" i="18"/>
  <c r="S38" i="18" s="1"/>
  <c r="S39" i="18" s="1"/>
  <c r="R109" i="18"/>
  <c r="R108" i="18"/>
  <c r="R107" i="18"/>
  <c r="AJ139" i="18"/>
  <c r="P25" i="18"/>
  <c r="N25" i="18" s="1"/>
  <c r="D49" i="51"/>
  <c r="L22" i="18" s="1"/>
  <c r="S40" i="18" l="1"/>
  <c r="P30" i="18" l="1"/>
  <c r="N30" i="18" s="1"/>
  <c r="P23" i="18"/>
  <c r="N23" i="18" s="1"/>
  <c r="N46" i="18"/>
  <c r="M74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l="1"/>
  <c r="R106" i="18"/>
  <c r="N50" i="18"/>
  <c r="N49" i="18" l="1"/>
  <c r="D108" i="50" l="1"/>
  <c r="P24" i="18" l="1"/>
  <c r="N48" i="18"/>
  <c r="C8" i="36" l="1"/>
  <c r="N43" i="18" l="1"/>
  <c r="N22" i="33" l="1"/>
  <c r="R22" i="33" s="1"/>
  <c r="E22" i="33"/>
  <c r="AL96" i="18"/>
  <c r="AL95" i="18" s="1"/>
  <c r="C22" i="33" l="1"/>
  <c r="J22" i="33"/>
  <c r="F22" i="33"/>
  <c r="AL94" i="18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7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4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7" i="18"/>
  <c r="AL85" i="18" l="1"/>
  <c r="AM86" i="18"/>
  <c r="AL129" i="18"/>
  <c r="AM130" i="18"/>
  <c r="P55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R105" i="18" s="1"/>
  <c r="B263" i="15"/>
  <c r="AJ143" i="18" l="1"/>
  <c r="AJ144" i="18" s="1"/>
  <c r="Q3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5" i="18"/>
  <c r="AM122" i="18" l="1"/>
  <c r="AL121" i="18"/>
  <c r="AL120" i="18" l="1"/>
  <c r="AM121" i="18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9" i="18" l="1"/>
  <c r="S70" i="18" s="1"/>
  <c r="S71" i="18" s="1"/>
  <c r="S72" i="18" s="1"/>
  <c r="S73" i="18" s="1"/>
  <c r="S74" i="18" s="1"/>
  <c r="AL114" i="18"/>
  <c r="AM114" i="18" s="1"/>
  <c r="AM115" i="18"/>
  <c r="AC15" i="33"/>
  <c r="S75" i="18" l="1"/>
  <c r="S76" i="18" s="1"/>
  <c r="S77" i="18" s="1"/>
  <c r="AM139" i="18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58" i="20"/>
  <c r="K259" i="20"/>
  <c r="K260" i="20"/>
  <c r="K261" i="20"/>
  <c r="K262" i="20"/>
  <c r="K263" i="20"/>
  <c r="K264" i="20"/>
  <c r="K265" i="20"/>
  <c r="K266" i="20"/>
  <c r="J258" i="20"/>
  <c r="J259" i="20"/>
  <c r="J260" i="20"/>
  <c r="J261" i="20"/>
  <c r="J262" i="20"/>
  <c r="J263" i="20"/>
  <c r="J264" i="20"/>
  <c r="J265" i="20"/>
  <c r="J266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56" i="20" l="1"/>
  <c r="K257" i="20"/>
  <c r="J257" i="20"/>
  <c r="I256" i="20"/>
  <c r="J256" i="20"/>
  <c r="I257" i="20"/>
  <c r="J255" i="20"/>
  <c r="K255" i="20"/>
  <c r="I255" i="20"/>
  <c r="J254" i="20"/>
  <c r="K254" i="20"/>
  <c r="I254" i="20"/>
  <c r="K253" i="20"/>
  <c r="J253" i="20"/>
  <c r="I253" i="20"/>
  <c r="K252" i="20"/>
  <c r="J252" i="20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5" i="18"/>
  <c r="AL76" i="18" l="1"/>
  <c r="AM77" i="18"/>
  <c r="AL75" i="18" l="1"/>
  <c r="AM76" i="18"/>
  <c r="N44" i="18"/>
  <c r="R104" i="18" s="1"/>
  <c r="R113" i="18" s="1"/>
  <c r="U128" i="18" s="1"/>
  <c r="T115" i="18" l="1"/>
  <c r="S92" i="18" s="1"/>
  <c r="Q79" i="18"/>
  <c r="AJ103" i="18"/>
  <c r="AJ104" i="18" s="1"/>
  <c r="AL74" i="18"/>
  <c r="AM75" i="18"/>
  <c r="AL73" i="18" l="1"/>
  <c r="AM74" i="18"/>
  <c r="N80" i="18"/>
  <c r="V76" i="18" l="1"/>
  <c r="V77" i="18"/>
  <c r="W76" i="18"/>
  <c r="X76" i="18"/>
  <c r="V73" i="18"/>
  <c r="W73" i="18" s="1"/>
  <c r="V75" i="18"/>
  <c r="V74" i="18"/>
  <c r="V128" i="18"/>
  <c r="V72" i="18"/>
  <c r="V71" i="18"/>
  <c r="V38" i="18"/>
  <c r="X38" i="18" s="1"/>
  <c r="V40" i="18"/>
  <c r="V39" i="18"/>
  <c r="V68" i="18"/>
  <c r="V70" i="18"/>
  <c r="V69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X77" i="18" l="1"/>
  <c r="W77" i="18"/>
  <c r="X73" i="18"/>
  <c r="W74" i="18"/>
  <c r="X74" i="18"/>
  <c r="W75" i="18"/>
  <c r="X75" i="18"/>
  <c r="V118" i="18"/>
  <c r="S91" i="18"/>
  <c r="U91" i="18" s="1"/>
  <c r="V91" i="18" s="1"/>
  <c r="S90" i="18"/>
  <c r="N33" i="18" s="1"/>
  <c r="L21" i="18" s="1"/>
  <c r="N58" i="18"/>
  <c r="S89" i="18"/>
  <c r="W38" i="18"/>
  <c r="W71" i="18"/>
  <c r="X71" i="18"/>
  <c r="X72" i="18"/>
  <c r="W72" i="18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53" i="18"/>
  <c r="X53" i="18"/>
  <c r="W57" i="18"/>
  <c r="X57" i="18"/>
  <c r="W61" i="18"/>
  <c r="X61" i="18"/>
  <c r="W27" i="18"/>
  <c r="X27" i="18"/>
  <c r="W29" i="18"/>
  <c r="X29" i="18"/>
  <c r="W70" i="18"/>
  <c r="X70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69" i="18"/>
  <c r="W69" i="18"/>
  <c r="W30" i="18"/>
  <c r="X30" i="18"/>
  <c r="AL71" i="18"/>
  <c r="AM72" i="18"/>
  <c r="U90" i="18" l="1"/>
  <c r="V90" i="18" s="1"/>
  <c r="N57" i="18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s="1"/>
  <c r="L62" i="18" l="1"/>
  <c r="F22" i="18"/>
  <c r="E33" i="13"/>
  <c r="G34" i="13"/>
  <c r="I97" i="20"/>
  <c r="K97" i="20"/>
  <c r="J97" i="20"/>
  <c r="F108" i="15"/>
  <c r="C20" i="18"/>
  <c r="G20" i="14"/>
  <c r="G21" i="14"/>
  <c r="L63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9" i="18" l="1"/>
  <c r="V89" i="18" s="1"/>
  <c r="U92" i="18"/>
  <c r="V92" i="18" s="1"/>
</calcChain>
</file>

<file path=xl/sharedStrings.xml><?xml version="1.0" encoding="utf-8"?>
<sst xmlns="http://schemas.openxmlformats.org/spreadsheetml/2006/main" count="9722" uniqueCount="4567">
  <si>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</si>
  <si>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</si>
  <si>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</si>
  <si>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</si>
  <si>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</si>
  <si>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</si>
  <si>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</si>
  <si>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</si>
  <si>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</si>
  <si>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</si>
  <si>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</si>
  <si>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</si>
  <si>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</si>
  <si>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</si>
  <si>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</si>
  <si>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</si>
  <si>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</si>
  <si>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</si>
  <si>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</si>
  <si>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</si>
  <si>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</si>
  <si>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</si>
  <si>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</si>
  <si>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</si>
  <si>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</si>
  <si>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</si>
  <si>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</si>
  <si>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</si>
  <si>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</si>
  <si>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</si>
  <si>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</si>
  <si>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</si>
  <si>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</si>
  <si>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</si>
  <si>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</si>
  <si>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</si>
  <si>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</si>
  <si>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</si>
  <si>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</si>
  <si>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</si>
  <si>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</si>
  <si>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</si>
  <si>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</si>
  <si>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</si>
  <si>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</si>
  <si>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</si>
  <si>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</si>
  <si>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</si>
  <si>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</si>
  <si>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</si>
  <si>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</si>
  <si>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</si>
  <si>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</si>
  <si>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</si>
  <si>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</si>
  <si>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</si>
  <si>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</si>
  <si>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</si>
  <si>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</si>
  <si>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</si>
  <si>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</si>
  <si>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</si>
  <si>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</si>
  <si>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</si>
  <si>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</si>
  <si>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</si>
  <si>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</si>
  <si>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</si>
  <si>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</si>
  <si>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</si>
  <si>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</si>
  <si>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</si>
  <si>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</si>
  <si>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</si>
  <si>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</si>
  <si>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</si>
  <si>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</si>
  <si>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</si>
  <si>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</si>
  <si>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</si>
  <si>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</si>
  <si>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</si>
  <si>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</si>
  <si>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</si>
  <si>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</si>
  <si>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</si>
  <si>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</si>
  <si>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</si>
  <si>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</si>
  <si>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</si>
  <si>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</si>
  <si>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</si>
  <si>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</si>
  <si>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</si>
  <si>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</si>
  <si>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</si>
  <si>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</si>
  <si>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</si>
  <si>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</si>
  <si>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</si>
  <si>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</si>
  <si>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</si>
  <si>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</si>
  <si>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</si>
  <si>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</si>
  <si>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</si>
  <si>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</si>
  <si>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</si>
  <si>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</si>
  <si>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</si>
  <si>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</si>
  <si>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</si>
  <si>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</si>
  <si>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</si>
  <si>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</si>
  <si>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</si>
  <si>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</si>
  <si>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</si>
  <si>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</si>
  <si>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</si>
  <si>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</si>
  <si>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</si>
  <si>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</si>
  <si>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</si>
  <si>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</si>
  <si>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</si>
  <si>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</si>
  <si>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</si>
  <si>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</si>
  <si>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</si>
  <si>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</si>
  <si>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</si>
  <si>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</si>
  <si>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</si>
  <si>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</si>
  <si>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</si>
  <si>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</si>
  <si>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</si>
  <si>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</si>
  <si>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</si>
  <si>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</si>
  <si>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</si>
  <si>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</si>
  <si>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</si>
  <si>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</si>
  <si>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</si>
  <si>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</si>
  <si>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</si>
  <si>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</si>
  <si>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</si>
  <si>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</si>
  <si>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</si>
  <si>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</si>
  <si>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</si>
  <si>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</si>
  <si>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</si>
  <si>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</si>
  <si>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</si>
  <si>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</si>
  <si>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</si>
  <si>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</si>
  <si>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</si>
  <si>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</si>
  <si>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</si>
  <si>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</si>
  <si>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</si>
  <si>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</si>
  <si>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</si>
  <si>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</si>
  <si>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</si>
  <si>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</si>
  <si>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</si>
  <si>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</si>
  <si>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</si>
  <si>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</si>
  <si>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</si>
  <si>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</si>
  <si>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</si>
  <si>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</si>
  <si>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</si>
  <si>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</si>
  <si>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</si>
  <si>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</si>
  <si>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</si>
  <si>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</si>
  <si>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</si>
  <si>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</si>
  <si>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</si>
  <si>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</si>
  <si>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</si>
  <si>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</si>
  <si>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</si>
  <si>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</si>
  <si>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</si>
  <si>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</si>
  <si>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</si>
  <si>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</si>
  <si>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</si>
  <si>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</si>
  <si>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</si>
  <si>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</si>
  <si>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</si>
  <si>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</si>
  <si>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</si>
  <si>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</si>
  <si>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</si>
  <si>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</si>
  <si>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</si>
  <si>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</si>
  <si>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</si>
  <si>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</si>
  <si>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</si>
  <si>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</si>
  <si>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</si>
  <si>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</si>
  <si>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</si>
  <si>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</si>
  <si>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</si>
  <si>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</si>
  <si>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</si>
  <si>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</si>
  <si>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</si>
  <si>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</si>
  <si>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</si>
  <si>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</si>
  <si>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</si>
  <si>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</si>
  <si>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</si>
  <si>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</si>
  <si>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</si>
  <si>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</si>
  <si>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</si>
  <si>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</si>
  <si>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</si>
  <si>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</si>
  <si>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</si>
  <si>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</si>
  <si>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</si>
  <si>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</si>
  <si>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</si>
  <si>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</si>
  <si>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</si>
  <si>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</si>
  <si>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</si>
  <si>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</si>
  <si>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</si>
  <si>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</si>
  <si>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</si>
  <si>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</si>
  <si>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</si>
  <si>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</si>
  <si>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</si>
  <si>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</si>
  <si>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</si>
  <si>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</si>
  <si>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</si>
  <si>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</si>
  <si>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</si>
  <si>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</si>
  <si>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</si>
  <si>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</si>
  <si>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</si>
  <si>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</si>
  <si>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</si>
  <si>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</si>
  <si>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</si>
  <si>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</si>
  <si>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</si>
  <si>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</si>
  <si>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</si>
  <si>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</si>
  <si>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</si>
  <si>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</si>
  <si>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</si>
  <si>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</si>
  <si>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</si>
  <si>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</si>
  <si>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</si>
  <si>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</si>
  <si>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</si>
  <si>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</si>
  <si>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</si>
  <si>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</si>
  <si>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</si>
  <si>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</si>
  <si>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</si>
  <si>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</si>
  <si>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</si>
  <si>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</si>
  <si>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</si>
  <si>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</si>
  <si>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</si>
  <si>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</si>
  <si>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</si>
  <si>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</si>
  <si>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</si>
  <si>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</si>
  <si>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</si>
  <si>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</si>
  <si>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</si>
  <si>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</si>
  <si>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</si>
  <si>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</si>
  <si>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</si>
  <si>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</si>
  <si>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</si>
  <si>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</si>
  <si>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</si>
  <si>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</si>
  <si>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</si>
  <si>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</si>
  <si>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</si>
  <si>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</si>
  <si>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</si>
  <si>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</si>
  <si>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</si>
  <si>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</si>
  <si>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</si>
  <si>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</si>
  <si>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</si>
  <si>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</si>
  <si>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</si>
  <si>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</si>
  <si>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</si>
  <si>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</si>
  <si>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</si>
  <si>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</si>
  <si>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</si>
  <si>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</si>
  <si>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</si>
  <si>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</si>
  <si>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</si>
  <si>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</si>
  <si>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</si>
  <si>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</si>
  <si>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</si>
  <si>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</si>
  <si>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</si>
  <si>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</si>
  <si>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</si>
  <si>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</si>
  <si>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</si>
  <si>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</si>
  <si>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</si>
  <si>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</si>
  <si>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</si>
  <si>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</si>
  <si>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</si>
  <si>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</si>
  <si>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</si>
  <si>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</si>
  <si>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</si>
  <si>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</si>
  <si>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</si>
  <si>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</si>
  <si>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</si>
  <si>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</si>
  <si>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</si>
  <si>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</si>
  <si>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</si>
  <si>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</si>
  <si>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</si>
  <si>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</si>
  <si>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</si>
  <si>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</si>
  <si>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</si>
  <si>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</si>
  <si>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</si>
  <si>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</si>
  <si>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</si>
  <si>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</si>
  <si>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</si>
  <si>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</si>
  <si>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</si>
  <si>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</si>
  <si>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</si>
  <si>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</si>
  <si>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</si>
  <si>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</si>
  <si>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</si>
  <si>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</si>
  <si>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</si>
  <si>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</si>
  <si>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</si>
  <si>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</si>
  <si>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</si>
  <si>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</si>
  <si>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</si>
  <si>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</si>
  <si>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</si>
  <si>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</si>
  <si>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</si>
  <si>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</si>
  <si>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</si>
  <si>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</si>
  <si>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</si>
  <si>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</si>
  <si>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</si>
  <si>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</si>
  <si>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</si>
  <si>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</si>
  <si>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</si>
  <si>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</si>
  <si>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</si>
  <si>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</si>
  <si>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</si>
  <si>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</si>
  <si>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</si>
  <si>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</si>
  <si>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</si>
  <si>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</si>
  <si>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</si>
  <si>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</si>
  <si>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</si>
  <si>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</si>
  <si>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</si>
  <si>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</si>
  <si>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</si>
  <si>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</si>
  <si>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</si>
  <si>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</si>
  <si>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</si>
  <si>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</si>
  <si>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</si>
  <si>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</si>
  <si>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</si>
  <si>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</si>
  <si>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</si>
  <si>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</si>
  <si>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</si>
  <si>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</si>
  <si>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</si>
  <si>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</si>
  <si>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</si>
  <si>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</si>
  <si>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</si>
  <si>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</si>
  <si>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</si>
  <si>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</si>
  <si>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</si>
  <si>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</si>
  <si>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</si>
  <si>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</si>
  <si>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</si>
  <si>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</si>
  <si>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</si>
  <si>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</si>
  <si>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</si>
  <si>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</si>
  <si>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</si>
  <si>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</si>
  <si>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</si>
  <si>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</si>
  <si>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</si>
  <si>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</si>
  <si>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</si>
  <si>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</si>
  <si>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</si>
  <si>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</si>
  <si>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</si>
  <si>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</si>
  <si>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</si>
  <si>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</si>
  <si>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</si>
  <si>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</si>
  <si>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</si>
  <si>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</si>
  <si>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</si>
  <si>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</si>
  <si>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</si>
  <si>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</si>
  <si>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</si>
  <si>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</si>
  <si>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</si>
  <si>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</si>
  <si>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</si>
  <si>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</si>
  <si>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</si>
  <si>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</si>
  <si>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</si>
  <si>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</si>
  <si>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</si>
  <si>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</si>
  <si>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</si>
  <si>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</si>
  <si>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</si>
  <si>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</si>
  <si>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</si>
  <si>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</si>
  <si>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</si>
  <si>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</si>
  <si>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</si>
  <si>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</si>
  <si>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</si>
  <si>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</si>
  <si>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</si>
  <si>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</si>
  <si>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</si>
  <si>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</si>
  <si>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</si>
  <si>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</si>
  <si>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</si>
  <si>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</si>
  <si>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</si>
  <si>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</si>
  <si>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</si>
  <si>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</si>
  <si>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</si>
  <si>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</si>
  <si>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</si>
  <si>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</si>
  <si>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</si>
  <si>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</si>
  <si>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</si>
  <si>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</si>
  <si>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</si>
  <si>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</si>
  <si>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</si>
  <si>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</si>
  <si>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</si>
  <si>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</si>
  <si>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</si>
  <si>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</si>
  <si>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</si>
  <si>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</si>
  <si>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</si>
  <si>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</si>
  <si>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</si>
  <si>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</si>
  <si>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</si>
  <si>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</si>
  <si>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</si>
  <si>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</si>
  <si>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</si>
  <si>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</si>
  <si>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</si>
  <si>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</si>
  <si>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</si>
  <si>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</si>
  <si>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</si>
  <si>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</si>
  <si>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</si>
  <si>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</si>
  <si>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</si>
  <si>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</si>
  <si>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</si>
  <si>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</si>
  <si>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</si>
  <si>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</si>
  <si>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</si>
  <si>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</si>
  <si>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</si>
  <si>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</si>
  <si>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</si>
  <si>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</si>
  <si>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</si>
  <si>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</si>
  <si>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</si>
  <si>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</si>
  <si>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</si>
  <si>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</si>
  <si>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</si>
  <si>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</si>
  <si>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</si>
  <si>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</si>
  <si>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</si>
  <si>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</si>
  <si>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</si>
  <si>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</si>
  <si>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</si>
  <si>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</si>
  <si>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</si>
  <si>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</si>
  <si>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</si>
  <si>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</si>
  <si>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</si>
  <si>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</si>
  <si>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</si>
  <si>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</si>
  <si>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</si>
  <si>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</si>
  <si>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</si>
  <si>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</si>
  <si>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</si>
  <si>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</si>
  <si>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</si>
  <si>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</si>
  <si>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</si>
  <si>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</si>
  <si>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</si>
  <si>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</si>
  <si>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</si>
  <si>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</si>
  <si>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</si>
  <si>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</si>
  <si>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</si>
  <si>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</si>
  <si>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</si>
  <si>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</si>
  <si>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</si>
  <si>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</si>
  <si>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</si>
  <si>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</si>
  <si>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</si>
  <si>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</si>
  <si>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</si>
  <si>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</si>
  <si>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</si>
  <si>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</si>
  <si>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</si>
  <si>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</si>
  <si>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</si>
  <si>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</si>
  <si>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</si>
  <si>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</si>
  <si>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</si>
  <si>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</si>
  <si>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</si>
  <si>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</si>
  <si>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</si>
  <si>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</si>
  <si>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</si>
  <si>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</si>
  <si>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</si>
  <si>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</si>
  <si>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</si>
  <si>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</si>
  <si>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</si>
  <si>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</si>
  <si>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</si>
  <si>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</si>
  <si>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</si>
  <si>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</si>
  <si>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</si>
  <si>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</si>
  <si>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</si>
  <si>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</si>
  <si>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</si>
  <si>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</si>
  <si>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</si>
  <si>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</si>
  <si>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</si>
  <si>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</si>
  <si>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</si>
  <si>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</si>
  <si>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</si>
  <si>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</si>
  <si>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</si>
  <si>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</si>
  <si>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</si>
  <si>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</si>
  <si>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</si>
  <si>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</si>
  <si>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</si>
  <si>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</si>
  <si>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</si>
  <si>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</si>
  <si>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</si>
  <si>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</si>
  <si>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</si>
  <si>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</si>
  <si>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</si>
  <si>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</si>
  <si>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</si>
  <si>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</si>
  <si>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</si>
  <si>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</si>
  <si>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</si>
  <si>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</si>
  <si>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</si>
  <si>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</si>
  <si>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</si>
  <si>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</si>
  <si>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</si>
  <si>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</si>
  <si>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</si>
  <si>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</si>
  <si>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</si>
  <si>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</si>
  <si>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</si>
  <si>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</si>
  <si>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</si>
  <si>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</si>
  <si>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</si>
  <si>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</si>
  <si>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</si>
  <si>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</si>
  <si>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</si>
  <si>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</si>
  <si>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</si>
  <si>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</si>
  <si>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</si>
  <si>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</si>
  <si>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</si>
  <si>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</si>
  <si>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</si>
  <si>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</si>
  <si>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</si>
  <si>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</si>
  <si>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</si>
  <si>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</si>
  <si>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</si>
  <si>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</si>
  <si>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</si>
  <si>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</si>
  <si>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</si>
  <si>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</si>
  <si>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</si>
  <si>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</si>
  <si>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</si>
  <si>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</si>
  <si>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</si>
  <si>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</si>
  <si>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</si>
  <si>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</si>
  <si>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</si>
  <si>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</si>
  <si>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</si>
  <si>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</si>
  <si>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</si>
  <si>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</si>
  <si>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</si>
  <si>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</si>
  <si>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</si>
  <si>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</si>
  <si>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</si>
  <si>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</si>
  <si>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</si>
  <si>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</si>
  <si>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</si>
  <si>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</si>
  <si>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</si>
  <si>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</si>
  <si>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</si>
  <si>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</si>
  <si>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</si>
  <si>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</si>
  <si>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</si>
  <si>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</si>
  <si>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</si>
  <si>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</si>
  <si>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</si>
  <si>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</si>
  <si>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</si>
  <si>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</si>
  <si>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</si>
  <si>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</si>
  <si>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</si>
  <si>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</si>
  <si>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</si>
  <si>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</si>
  <si>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</si>
  <si>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</si>
  <si>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</si>
  <si>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</si>
  <si>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</si>
  <si>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</si>
  <si>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</si>
  <si>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</si>
  <si>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</si>
  <si>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</si>
  <si>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</si>
  <si>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</si>
  <si>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</si>
  <si>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</si>
  <si>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</si>
  <si>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</si>
  <si>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</si>
  <si>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</si>
  <si>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</si>
  <si>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</si>
  <si>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</si>
  <si>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</si>
  <si>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</si>
  <si>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</si>
  <si>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</si>
  <si>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</si>
  <si>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</si>
  <si>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</si>
  <si>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</si>
  <si>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</si>
  <si>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</si>
  <si>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</si>
  <si>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</si>
  <si>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</si>
  <si>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</si>
  <si>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</si>
  <si>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</si>
  <si>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</si>
  <si>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</si>
  <si>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</si>
  <si>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</si>
  <si>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</si>
  <si>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</si>
  <si>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</si>
  <si>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</si>
  <si>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</si>
  <si>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</si>
  <si>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</si>
  <si>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</si>
  <si>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</si>
  <si>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</si>
  <si>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</si>
  <si>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</si>
  <si>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</si>
  <si>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</si>
  <si>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</si>
  <si>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</si>
  <si>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</si>
  <si>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</si>
  <si>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</si>
  <si>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</si>
  <si>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</si>
  <si>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</si>
  <si>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</si>
  <si>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</si>
  <si>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</si>
  <si>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</si>
  <si>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</si>
  <si>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</si>
  <si>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</si>
  <si>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</si>
  <si>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</si>
  <si>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</si>
  <si>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</si>
  <si>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</si>
  <si>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</si>
  <si>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</si>
  <si>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</si>
  <si>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</si>
  <si>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</si>
  <si>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</si>
  <si>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</si>
  <si>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</si>
  <si>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</si>
  <si>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</si>
  <si>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</si>
  <si>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</si>
  <si>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</si>
  <si>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</si>
  <si>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</si>
  <si>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</si>
  <si>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</si>
  <si>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</si>
  <si>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</si>
  <si>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</si>
  <si>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</si>
  <si>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</si>
  <si>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</si>
  <si>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</si>
  <si>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</si>
  <si>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</si>
  <si>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</si>
  <si>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</si>
  <si>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</si>
  <si>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</si>
  <si>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</si>
  <si>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</si>
  <si>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</si>
  <si>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</si>
  <si>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</si>
  <si>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</si>
  <si>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</si>
  <si>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</si>
  <si>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</si>
  <si>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</si>
  <si>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</si>
  <si>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</si>
  <si>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</si>
  <si>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</si>
  <si>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</si>
  <si>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</si>
  <si>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</si>
  <si>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</si>
  <si>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</si>
  <si>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</si>
  <si>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</si>
  <si>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</si>
  <si>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</si>
  <si>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</si>
  <si>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</si>
  <si>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</si>
  <si>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</si>
  <si>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</si>
  <si>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</si>
  <si>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</si>
  <si>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</si>
  <si>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</si>
  <si>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</si>
  <si>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</si>
  <si>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</si>
  <si>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</si>
  <si>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</si>
  <si>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</si>
  <si>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</si>
  <si>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</si>
  <si>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</si>
  <si>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</si>
  <si>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</si>
  <si>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</si>
  <si>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</si>
  <si>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</si>
  <si>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</si>
  <si>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</si>
  <si>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</si>
  <si>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</si>
  <si>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</si>
  <si>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</si>
  <si>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</si>
  <si>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</si>
  <si>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</si>
  <si>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</si>
  <si>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</si>
  <si>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</si>
  <si>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</si>
  <si>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</si>
  <si>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</si>
  <si>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</si>
  <si>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</si>
  <si>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</si>
  <si>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</si>
  <si>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</si>
  <si>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</si>
  <si>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</si>
  <si>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</si>
  <si>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</si>
  <si>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</si>
  <si>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</si>
  <si>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</si>
  <si>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</si>
  <si>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</si>
  <si>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</si>
  <si>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</si>
  <si>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</si>
  <si>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</si>
  <si>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</si>
  <si>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</si>
  <si>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</si>
  <si>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</si>
  <si>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</si>
  <si>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</si>
  <si>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</si>
  <si>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</si>
  <si>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</si>
  <si>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</si>
  <si>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</si>
  <si>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</si>
  <si>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</si>
  <si>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</si>
  <si>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</si>
  <si>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</si>
  <si>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</si>
  <si>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</si>
  <si>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</si>
  <si>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</si>
  <si>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</si>
  <si>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</si>
  <si>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</si>
  <si>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</si>
  <si>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</si>
  <si>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</si>
  <si>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</si>
  <si>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</si>
  <si>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</si>
  <si>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</si>
  <si>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</si>
  <si>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</si>
  <si>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</si>
  <si>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</si>
  <si>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</si>
  <si>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</si>
  <si>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</si>
  <si>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</si>
  <si>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</si>
  <si>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</si>
  <si>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</si>
  <si>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</si>
  <si>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</si>
  <si>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</si>
  <si>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</si>
  <si>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</si>
  <si>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</si>
  <si>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</si>
  <si>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</si>
  <si>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</si>
  <si>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</si>
  <si>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</si>
  <si>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</si>
  <si>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</si>
  <si>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</si>
  <si>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</si>
  <si>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</si>
  <si>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</si>
  <si>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</si>
  <si>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</si>
  <si>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</si>
  <si>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</si>
  <si>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</si>
  <si>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</si>
  <si>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</si>
  <si>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</si>
  <si>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</si>
  <si>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</si>
  <si>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</si>
  <si>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</si>
  <si>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</si>
  <si>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</si>
  <si>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</si>
  <si>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</si>
  <si>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</si>
  <si>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</si>
  <si>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</si>
  <si>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</si>
  <si>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</si>
  <si>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</si>
  <si>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</si>
  <si>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</si>
  <si>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</si>
  <si>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</si>
  <si>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</si>
  <si>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</si>
  <si>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</si>
  <si>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</si>
  <si>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</si>
  <si>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</si>
  <si>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</si>
  <si>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</si>
  <si>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</si>
  <si>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</si>
  <si>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</si>
  <si>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</si>
  <si>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</si>
  <si>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</si>
  <si>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</si>
  <si>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</si>
  <si>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</si>
  <si>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</si>
  <si>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</si>
  <si>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</si>
  <si>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</si>
  <si>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</si>
  <si>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</si>
  <si>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</si>
  <si>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</si>
  <si>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</si>
  <si>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</si>
  <si>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</si>
  <si>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</si>
  <si>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</si>
  <si>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</si>
  <si>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</si>
  <si>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</si>
  <si>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</si>
  <si>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</si>
  <si>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</si>
  <si>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</si>
  <si>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</si>
  <si>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</si>
  <si>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</si>
  <si>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</si>
  <si>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</si>
  <si>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</si>
  <si>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</si>
  <si>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</si>
  <si>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</si>
  <si>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</si>
  <si>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</si>
  <si>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</si>
  <si>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</si>
  <si>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</si>
  <si>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</si>
  <si>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</si>
  <si>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</si>
  <si>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</si>
  <si>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</si>
  <si>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</si>
  <si>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</si>
  <si>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</si>
  <si>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</si>
  <si>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</si>
  <si>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</si>
  <si>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</si>
  <si>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</si>
  <si>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</si>
  <si>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</si>
  <si>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</si>
  <si>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</si>
  <si>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</si>
  <si>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</si>
  <si>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</si>
  <si>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</si>
  <si>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</si>
  <si>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</si>
  <si>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</si>
  <si>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</si>
  <si>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</si>
  <si>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</si>
  <si>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</si>
  <si>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</si>
  <si>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</si>
  <si>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</si>
  <si>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</si>
  <si>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</si>
  <si>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</si>
  <si>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</si>
  <si>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</si>
  <si>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</si>
  <si>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</si>
  <si>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</si>
  <si>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</si>
  <si>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</si>
  <si>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</si>
  <si>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</si>
  <si>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</si>
  <si>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</si>
  <si>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</si>
  <si>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</si>
  <si>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</si>
  <si>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</si>
  <si>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</si>
  <si>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</si>
  <si>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</si>
  <si>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</si>
  <si>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</si>
  <si>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</si>
  <si>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</si>
  <si>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</si>
  <si>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</si>
  <si>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</si>
  <si>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</si>
  <si>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</si>
  <si>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</si>
  <si>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</si>
  <si>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</si>
  <si>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</si>
  <si>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</si>
  <si>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</si>
  <si>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</si>
  <si>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</si>
  <si>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</si>
  <si>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</si>
  <si>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</si>
  <si>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</si>
  <si>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</si>
  <si>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</si>
  <si>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</si>
  <si>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</si>
  <si>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</si>
  <si>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</si>
  <si>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</si>
  <si>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</si>
  <si>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</si>
  <si>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</si>
  <si>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</si>
  <si>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</si>
  <si>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</si>
  <si>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</si>
  <si>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</si>
  <si>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</si>
  <si>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</si>
  <si>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</si>
  <si>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</si>
  <si>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</si>
  <si>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</si>
  <si>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</si>
  <si>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</si>
  <si>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</si>
  <si>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</si>
  <si>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</si>
  <si>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</si>
  <si>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</si>
  <si>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</si>
  <si>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</si>
  <si>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</si>
  <si>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</si>
  <si>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</si>
  <si>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</si>
  <si>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</si>
  <si>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</si>
  <si>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</si>
  <si>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</si>
  <si>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</si>
  <si>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</si>
  <si>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</si>
  <si>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</si>
  <si>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</si>
  <si>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</si>
  <si>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</si>
  <si>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</si>
  <si>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</si>
  <si>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</si>
  <si>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</si>
  <si>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</si>
  <si>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</si>
  <si>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</si>
  <si>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</si>
  <si>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</si>
  <si>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</si>
  <si>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</si>
  <si>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</si>
  <si>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</si>
  <si>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</si>
  <si>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</si>
  <si>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</si>
  <si>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</si>
  <si>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</si>
  <si>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</si>
  <si>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</si>
  <si>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</si>
  <si>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</si>
  <si>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</si>
  <si>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</si>
  <si>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</si>
  <si>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</si>
  <si>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</si>
  <si>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</si>
  <si>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</si>
  <si>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</si>
  <si>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</si>
  <si>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</si>
  <si>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</si>
  <si>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</si>
  <si>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</si>
  <si>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</si>
  <si>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</si>
  <si>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</si>
  <si>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</si>
  <si>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</si>
  <si>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</si>
  <si>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</si>
  <si>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</si>
  <si>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</si>
  <si>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</si>
  <si>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</si>
  <si>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</si>
  <si>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</si>
  <si>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</si>
  <si>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</si>
  <si>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</si>
  <si>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</si>
  <si>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</si>
  <si>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</si>
  <si>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</si>
  <si>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</si>
  <si>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</si>
  <si>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</si>
  <si>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</si>
  <si>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</si>
  <si>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</si>
  <si>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</si>
  <si>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</si>
  <si>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</si>
  <si>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</si>
  <si>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</si>
  <si>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</si>
  <si>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</si>
  <si>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</si>
  <si>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</si>
  <si>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</si>
  <si>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</si>
  <si>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</si>
  <si>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</si>
  <si>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</si>
  <si>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</si>
  <si>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</si>
  <si>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</si>
  <si>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</si>
  <si>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</si>
  <si>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</si>
  <si>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</si>
  <si>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</si>
  <si>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</si>
  <si>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</si>
  <si>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</si>
  <si>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</si>
  <si>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</si>
  <si>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</si>
  <si>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</si>
  <si>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</si>
  <si>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</si>
  <si>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</si>
  <si>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</si>
  <si>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</si>
  <si>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</si>
  <si>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</si>
  <si>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</si>
  <si>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</si>
  <si>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</si>
  <si>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</si>
  <si>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</si>
  <si>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</si>
  <si>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</si>
  <si>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</si>
  <si>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</si>
  <si>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</si>
  <si>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</si>
  <si>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</si>
  <si>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</si>
  <si>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</si>
  <si>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</si>
  <si>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</si>
  <si>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</si>
  <si>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</si>
  <si>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</si>
  <si>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</si>
  <si>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</si>
  <si>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</si>
  <si>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</si>
  <si>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</si>
  <si>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</si>
  <si>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</si>
  <si>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</si>
  <si>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</si>
  <si>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</si>
  <si>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</si>
  <si>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</si>
  <si>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</si>
  <si>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</si>
  <si>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</si>
  <si>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</si>
  <si>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</si>
  <si>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</si>
  <si>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</si>
  <si>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</si>
  <si>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</si>
  <si>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</si>
  <si>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</si>
  <si>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</si>
  <si>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</si>
  <si>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</si>
  <si>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</si>
  <si>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</si>
  <si>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</si>
  <si>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</si>
  <si>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</si>
  <si>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</si>
  <si>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</si>
  <si>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</si>
  <si>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</si>
  <si>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</si>
  <si>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</si>
  <si>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</si>
  <si>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</si>
  <si>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</si>
  <si>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</si>
  <si>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</si>
  <si>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</si>
  <si>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</si>
  <si>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</si>
  <si>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</si>
  <si>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</si>
  <si>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</si>
  <si>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</si>
  <si>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</si>
  <si>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</si>
  <si>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</si>
  <si>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</si>
  <si>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</si>
  <si>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</si>
  <si>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</si>
  <si>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</si>
  <si>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</si>
  <si>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</si>
  <si>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</si>
  <si>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</si>
  <si>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</si>
  <si>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</si>
  <si>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</si>
  <si>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</si>
  <si>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</si>
  <si>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</si>
  <si>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</si>
  <si>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</si>
  <si>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</si>
  <si>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</si>
  <si>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</si>
  <si>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</si>
  <si>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</si>
  <si>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</si>
  <si>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</si>
  <si>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</si>
  <si>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</si>
  <si>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</si>
  <si>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</si>
  <si>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</si>
  <si>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</si>
  <si>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</si>
  <si>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</si>
  <si>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</si>
  <si>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</si>
  <si>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</si>
  <si>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</si>
  <si>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</si>
  <si>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</si>
  <si>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</si>
  <si>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</si>
  <si>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</si>
  <si>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</si>
  <si>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</si>
  <si>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</si>
  <si>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</si>
  <si>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</si>
  <si>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</si>
  <si>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</si>
  <si>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</si>
  <si>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</si>
  <si>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</si>
  <si>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</si>
  <si>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</si>
  <si>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</si>
  <si>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</si>
  <si>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</si>
  <si>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</si>
  <si>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</si>
  <si>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</si>
  <si>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</si>
  <si>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</si>
  <si>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</si>
  <si>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</si>
  <si>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</si>
  <si>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</si>
  <si>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</si>
  <si>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</si>
  <si>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</si>
  <si>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</si>
  <si>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</si>
  <si>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</si>
  <si>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</si>
  <si>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</si>
  <si>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</si>
  <si>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</si>
  <si>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</si>
  <si>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</si>
  <si>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</si>
  <si>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</si>
  <si>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</si>
  <si>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</si>
  <si>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</si>
  <si>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</si>
  <si>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</si>
  <si>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</si>
  <si>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</si>
  <si>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</si>
  <si>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</si>
  <si>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</si>
  <si>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</si>
  <si>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</si>
  <si>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</si>
  <si>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</si>
  <si>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</si>
  <si>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</si>
  <si>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</si>
  <si>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</si>
  <si>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</si>
  <si>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</si>
  <si>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</si>
  <si>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</si>
  <si>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</si>
  <si>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</si>
  <si>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</si>
  <si>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</si>
  <si>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</si>
  <si>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</si>
  <si>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</si>
  <si>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</si>
  <si>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</si>
  <si>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</si>
  <si>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</si>
  <si>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</si>
  <si>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</si>
  <si>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</si>
  <si>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</si>
  <si>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</si>
  <si>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</si>
  <si>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</si>
  <si>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</si>
  <si>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</si>
  <si>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</si>
  <si>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</si>
  <si>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</si>
  <si>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</si>
  <si>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</si>
  <si>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</si>
  <si>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</si>
  <si>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</si>
  <si>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</si>
  <si>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</si>
  <si>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</si>
  <si>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</si>
  <si>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</si>
  <si>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</si>
  <si>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</si>
  <si>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</si>
  <si>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</si>
  <si>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</si>
  <si>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</si>
  <si>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</si>
  <si>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</si>
  <si>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</si>
  <si>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</si>
  <si>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</si>
  <si>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</si>
  <si>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</si>
  <si>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</si>
  <si>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</si>
  <si>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</si>
  <si>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</si>
  <si>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</si>
  <si>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</si>
  <si>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</si>
  <si>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</si>
  <si>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</si>
  <si>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</si>
  <si>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</si>
  <si>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</si>
  <si>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</si>
  <si>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</si>
  <si>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</si>
  <si>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</si>
  <si>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</si>
  <si>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</si>
  <si>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</si>
  <si>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</si>
  <si>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</si>
  <si>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</si>
  <si>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</si>
  <si>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</si>
  <si>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</si>
  <si>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</si>
  <si>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</si>
  <si>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</si>
  <si>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</si>
  <si>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</si>
  <si>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</si>
  <si>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</si>
  <si>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</si>
  <si>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</si>
  <si>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</si>
  <si>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</si>
  <si>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</si>
  <si>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</si>
  <si>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</si>
  <si>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</si>
  <si>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</si>
  <si>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</si>
  <si>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</si>
  <si>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</si>
  <si>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</si>
  <si>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</si>
  <si>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</si>
  <si>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</si>
  <si>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</si>
  <si>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</si>
  <si>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</si>
  <si>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</si>
  <si>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</si>
  <si>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</si>
  <si>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</si>
  <si>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</si>
  <si>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</si>
  <si>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</si>
  <si>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</si>
  <si>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</si>
  <si>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</si>
  <si>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</si>
  <si>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</si>
  <si>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</si>
  <si>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</si>
  <si>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</si>
  <si>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</si>
  <si>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</si>
  <si>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</si>
  <si>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</si>
  <si>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</si>
  <si>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</si>
  <si>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</si>
  <si>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</si>
  <si>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</si>
  <si>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</si>
  <si>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</si>
  <si>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</si>
  <si>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</si>
  <si>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</si>
  <si>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</si>
  <si>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</si>
  <si>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</si>
  <si>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</si>
  <si>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</si>
  <si>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</si>
  <si>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</si>
  <si>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</si>
  <si>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</si>
  <si>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</si>
  <si>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</si>
  <si>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</si>
  <si>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</si>
  <si>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</si>
  <si>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</si>
  <si>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</si>
  <si>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</si>
  <si>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</si>
  <si>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</si>
  <si>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</si>
  <si>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</si>
  <si>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</si>
  <si>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</si>
  <si>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</si>
  <si>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</si>
  <si>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</si>
  <si>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</si>
  <si>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</si>
  <si>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</si>
  <si>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</si>
  <si>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</si>
  <si>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</si>
  <si>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</si>
  <si>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</si>
  <si>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</si>
  <si>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</si>
  <si>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</si>
  <si>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</si>
  <si>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</si>
  <si>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</si>
  <si>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</si>
  <si>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</si>
  <si>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</si>
  <si>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</si>
  <si>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</si>
  <si>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</si>
  <si>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</si>
  <si>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</si>
  <si>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</si>
  <si>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</si>
  <si>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</si>
  <si>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</si>
  <si>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</si>
  <si>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</si>
  <si>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</si>
  <si>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</si>
  <si>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</si>
  <si>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</si>
  <si>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</si>
  <si>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</si>
  <si>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</si>
  <si>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</si>
  <si>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</si>
  <si>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</si>
  <si>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</si>
  <si>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</si>
  <si>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</si>
  <si>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</si>
  <si>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</si>
  <si>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</si>
  <si>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</si>
  <si>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</si>
  <si>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</si>
  <si>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</si>
  <si>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</si>
  <si>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</si>
  <si>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</si>
  <si>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</si>
  <si>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</si>
  <si>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</si>
  <si>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</si>
  <si>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</si>
  <si>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</si>
  <si>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</si>
  <si>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</si>
  <si>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</si>
  <si>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</si>
  <si>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</si>
  <si>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</si>
  <si>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</si>
  <si>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</si>
  <si>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</si>
  <si>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</si>
  <si>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</si>
  <si>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</si>
  <si>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</si>
  <si>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</si>
  <si>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</si>
  <si>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</si>
  <si>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</si>
  <si>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</si>
  <si>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</si>
  <si>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</si>
  <si>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</si>
  <si>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</si>
  <si>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</si>
  <si>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</si>
  <si>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</si>
  <si>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</si>
  <si>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</si>
  <si>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</si>
  <si>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</si>
  <si>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</si>
  <si>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</si>
  <si>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</si>
  <si>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</si>
  <si>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</si>
  <si>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</si>
  <si>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</si>
  <si>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</si>
  <si>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</si>
  <si>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</si>
  <si>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</si>
  <si>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</si>
  <si>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</si>
  <si>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</si>
  <si>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</si>
  <si>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</si>
  <si>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</si>
  <si>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</si>
  <si>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</si>
  <si>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</si>
  <si>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</si>
  <si>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</si>
  <si>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</si>
  <si>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</si>
  <si>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</si>
  <si>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</si>
  <si>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</si>
  <si>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</si>
  <si>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</si>
  <si>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</si>
  <si>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</si>
  <si>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</si>
  <si>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</si>
  <si>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</si>
  <si>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</si>
  <si>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</si>
  <si>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</si>
  <si>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</si>
  <si>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</si>
  <si>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</si>
  <si>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</si>
  <si>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</si>
  <si>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</si>
  <si>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</si>
  <si>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</si>
  <si>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</si>
  <si>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</si>
  <si>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</si>
  <si>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</si>
  <si>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</si>
  <si>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</si>
  <si>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</si>
  <si>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</si>
  <si>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</si>
  <si>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</si>
  <si>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</si>
  <si>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</si>
  <si>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</si>
  <si>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</si>
  <si>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</si>
  <si>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</si>
  <si>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</si>
  <si>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</si>
  <si>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</si>
  <si>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</si>
  <si>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</si>
  <si>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</si>
  <si>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</si>
  <si>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</si>
  <si>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</si>
  <si>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</si>
  <si>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</si>
  <si>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</si>
  <si>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</si>
  <si>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</si>
  <si>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</si>
  <si>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</si>
  <si>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</si>
  <si>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</si>
  <si>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</si>
  <si>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</si>
  <si>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</si>
  <si>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</si>
  <si>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</si>
  <si>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</si>
  <si>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</si>
  <si>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</si>
  <si>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</si>
  <si>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</si>
  <si>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</si>
  <si>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</si>
  <si>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</si>
  <si>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</si>
  <si>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</si>
  <si>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</si>
  <si>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</si>
  <si>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</si>
  <si>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</si>
  <si>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</si>
  <si>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</si>
  <si>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</si>
  <si>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</si>
  <si>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</si>
  <si>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</si>
  <si>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</si>
  <si>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</si>
  <si>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</si>
  <si>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</si>
  <si>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</si>
  <si>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</si>
  <si>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</si>
  <si>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</si>
  <si>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</si>
  <si>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</si>
  <si>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</si>
  <si>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</si>
  <si>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</si>
  <si>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</si>
  <si>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</si>
  <si>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</si>
  <si>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</si>
  <si>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</si>
  <si>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</si>
  <si>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</si>
  <si>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</si>
  <si>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</si>
  <si>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</si>
  <si>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</si>
  <si>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</si>
  <si>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</si>
  <si>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</si>
  <si>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</si>
  <si>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</si>
  <si>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</si>
  <si>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</si>
  <si>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</si>
  <si>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</si>
  <si>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</si>
  <si>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</si>
  <si>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</si>
  <si>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</si>
  <si>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</si>
  <si>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</si>
  <si>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</si>
  <si>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</si>
  <si>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</si>
  <si>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</si>
  <si>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</si>
  <si>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</si>
  <si>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</si>
  <si>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</si>
  <si>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</si>
  <si>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</si>
  <si>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</si>
  <si>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</si>
  <si>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</si>
  <si>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</si>
  <si>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</si>
  <si>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</si>
  <si>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</si>
  <si>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</si>
  <si>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</si>
  <si>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</si>
  <si>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</si>
  <si>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</si>
  <si>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</si>
  <si>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</si>
  <si>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</si>
  <si>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</si>
  <si>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</si>
  <si>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</si>
  <si>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</si>
  <si>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</si>
  <si>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</si>
  <si>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</si>
  <si>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</si>
  <si>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</si>
  <si>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</si>
  <si>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</si>
  <si>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</si>
  <si>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</si>
  <si>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</si>
  <si>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</si>
  <si>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</si>
  <si>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</si>
  <si>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</si>
  <si>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</si>
  <si>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</si>
  <si>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</si>
  <si>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</si>
  <si>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</si>
  <si>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</si>
  <si>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</si>
  <si>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</si>
  <si>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</si>
  <si>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</si>
  <si>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</si>
  <si>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</si>
  <si>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</si>
  <si>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</si>
  <si>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</si>
  <si>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</si>
  <si>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</si>
  <si>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</si>
  <si>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</si>
  <si>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</si>
  <si>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</si>
  <si>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</si>
  <si>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</si>
  <si>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</si>
  <si>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</si>
  <si>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</si>
  <si>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</si>
  <si>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</si>
  <si>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</si>
  <si>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</si>
  <si>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</si>
  <si>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</si>
  <si>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</si>
  <si>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</si>
  <si>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</si>
  <si>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</si>
  <si>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</si>
  <si>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</si>
  <si>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</si>
  <si>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</si>
  <si>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</si>
  <si>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</si>
  <si>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</si>
  <si>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</si>
  <si>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</si>
  <si>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</si>
  <si>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</si>
  <si>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</si>
  <si>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</si>
  <si>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</si>
  <si>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</si>
  <si>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</si>
  <si>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</si>
  <si>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</si>
  <si>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</si>
  <si>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</si>
  <si>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</si>
  <si>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</si>
  <si>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</si>
  <si>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</si>
  <si>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</si>
  <si>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</si>
  <si>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</si>
  <si>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</si>
  <si>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</si>
  <si>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</si>
  <si>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</si>
  <si>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</si>
  <si>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</si>
  <si>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</si>
  <si>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</si>
  <si>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</si>
  <si>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</si>
  <si>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</si>
  <si>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</si>
  <si>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</si>
  <si>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</si>
  <si>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</si>
  <si>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</si>
  <si>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</si>
  <si>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</si>
  <si>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</si>
  <si>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</si>
  <si>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</si>
  <si>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</si>
  <si>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</si>
  <si>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</si>
  <si>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</si>
  <si>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</si>
  <si>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</si>
  <si>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</si>
  <si>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</si>
  <si>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</si>
  <si>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</si>
  <si>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</si>
  <si>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</si>
  <si>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</si>
  <si>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</si>
  <si>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</si>
  <si>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</si>
  <si>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</si>
  <si>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</si>
  <si>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</si>
  <si>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</si>
  <si>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</si>
  <si>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</si>
  <si>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</si>
  <si>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</si>
  <si>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</si>
  <si>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</si>
  <si>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</si>
  <si>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</si>
  <si>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</si>
  <si>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</si>
  <si>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</si>
  <si>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</si>
  <si>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</si>
  <si>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</si>
  <si>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</si>
  <si>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</si>
  <si>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</si>
  <si>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</si>
  <si>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</si>
  <si>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</si>
  <si>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</si>
  <si>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</si>
  <si>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</si>
  <si>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</si>
  <si>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</si>
  <si>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</si>
  <si>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</si>
  <si>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</si>
  <si>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</si>
  <si>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</si>
  <si>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</si>
  <si>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</si>
  <si>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</si>
  <si>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</si>
  <si>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</si>
  <si>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</si>
  <si>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</si>
  <si>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</si>
  <si>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</si>
  <si>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</si>
  <si>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</si>
  <si>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</si>
  <si>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</si>
  <si>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</si>
  <si>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</si>
  <si>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</si>
  <si>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</si>
  <si>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</si>
  <si>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</si>
  <si>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</si>
  <si>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</si>
  <si>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</si>
  <si>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</si>
  <si>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</si>
  <si>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</si>
  <si>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</si>
  <si>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</si>
  <si>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</si>
  <si>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</si>
  <si>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</si>
  <si>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</si>
  <si>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</si>
  <si>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</si>
  <si>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</si>
  <si>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</si>
  <si>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</si>
  <si>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</si>
  <si>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</si>
  <si>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</si>
  <si>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</si>
  <si>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</si>
  <si>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</si>
  <si>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</si>
  <si>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</si>
  <si>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</si>
  <si>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</si>
  <si>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</si>
  <si>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</si>
  <si>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</si>
  <si>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</si>
  <si>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</si>
  <si>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</si>
  <si>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</si>
  <si>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</si>
  <si>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</si>
  <si>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</si>
  <si>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</si>
  <si>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</si>
  <si>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</si>
  <si>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</si>
  <si>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</si>
  <si>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</si>
  <si>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</si>
  <si>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</si>
  <si>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</si>
  <si>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</si>
  <si>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</si>
  <si>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</si>
  <si>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</si>
  <si>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</si>
  <si>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</si>
  <si>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</si>
  <si>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</si>
  <si>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</si>
  <si>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</si>
  <si>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</si>
  <si>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</si>
  <si>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</si>
  <si>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</si>
  <si>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</si>
  <si>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</si>
  <si>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</si>
  <si>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</si>
  <si>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</si>
  <si>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</si>
  <si>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</si>
  <si>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</si>
  <si>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</si>
  <si>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</si>
  <si>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</si>
  <si>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</si>
  <si>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</si>
  <si>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</si>
  <si>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</si>
  <si>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</si>
  <si>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</si>
  <si>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</si>
  <si>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</si>
  <si>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</si>
  <si>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</si>
  <si>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</si>
  <si>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</si>
  <si>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</si>
  <si>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</si>
  <si>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</si>
  <si>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</si>
  <si>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</si>
  <si>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</si>
  <si>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</si>
  <si>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</si>
  <si>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</si>
  <si>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</si>
  <si>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</si>
  <si>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</si>
  <si>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</si>
  <si>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</si>
  <si>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</si>
  <si>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</si>
  <si>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</si>
  <si>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</si>
  <si>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</si>
  <si>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</si>
  <si>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</si>
  <si>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</si>
  <si>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</si>
  <si>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</si>
  <si>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</si>
  <si>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</si>
  <si>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</si>
  <si>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</si>
  <si>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</si>
  <si>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</si>
  <si>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</si>
  <si>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</si>
  <si>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</si>
  <si>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</si>
  <si>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</si>
  <si>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</si>
  <si>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</si>
  <si>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</si>
  <si>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</si>
  <si>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</si>
  <si>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</si>
  <si>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</si>
  <si>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</si>
  <si>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</si>
  <si>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</si>
  <si>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</si>
  <si>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</si>
  <si>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</si>
  <si>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</si>
  <si>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</si>
  <si>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</si>
  <si>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</si>
  <si>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</si>
  <si>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</si>
  <si>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</si>
  <si>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</si>
  <si>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</si>
  <si>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</si>
  <si>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</si>
  <si>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</si>
  <si>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</si>
  <si>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</si>
  <si>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</si>
  <si>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</si>
  <si>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</si>
  <si>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</si>
  <si>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</si>
  <si>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</si>
  <si>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</si>
  <si>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</si>
  <si>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</si>
  <si>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</si>
  <si>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</si>
  <si>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</si>
  <si>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</si>
  <si>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</si>
  <si>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</si>
  <si>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</si>
  <si>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</si>
  <si>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</si>
  <si>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</si>
  <si>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</si>
  <si>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</si>
  <si>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</si>
  <si>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</si>
  <si>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</si>
  <si>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</si>
  <si>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</si>
  <si>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</si>
  <si>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</si>
  <si>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</si>
  <si>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</si>
  <si>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</si>
  <si>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</si>
  <si>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</si>
  <si>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</si>
  <si>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</si>
  <si>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</si>
  <si>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</si>
  <si>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</si>
  <si>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</si>
  <si>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</si>
  <si>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</si>
  <si>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</si>
  <si>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</si>
  <si>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</si>
  <si>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</si>
  <si>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</si>
  <si>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</si>
  <si>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</si>
  <si>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</si>
  <si>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</si>
  <si>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</si>
  <si>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</si>
  <si>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</si>
  <si>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</si>
  <si>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</si>
  <si>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</si>
  <si>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</si>
  <si>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</si>
  <si>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</si>
  <si>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</si>
  <si>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</si>
  <si>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</si>
  <si>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</si>
  <si>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</si>
  <si>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</si>
  <si>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</si>
  <si>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</si>
  <si>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</si>
  <si>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</si>
  <si>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</si>
  <si>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</si>
  <si>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</si>
  <si>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</si>
  <si>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</si>
  <si>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</si>
  <si>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</si>
  <si>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</si>
  <si>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</si>
  <si>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</si>
  <si>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</si>
  <si>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</si>
  <si>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</si>
  <si>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</si>
  <si>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</si>
  <si>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</si>
  <si>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</si>
  <si>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</si>
  <si>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</si>
  <si>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</si>
  <si>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</si>
  <si>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</si>
  <si>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</si>
  <si>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</si>
  <si>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</si>
  <si>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</si>
  <si>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</si>
  <si>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</si>
  <si>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</si>
  <si>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</si>
  <si>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</si>
  <si>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</si>
  <si>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</si>
  <si>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</si>
  <si>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</si>
  <si>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</si>
  <si>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</si>
  <si>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</si>
  <si>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</si>
  <si>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</si>
  <si>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</si>
  <si>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</si>
  <si>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</si>
  <si>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</si>
  <si>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</si>
  <si>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</si>
  <si>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</si>
  <si>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</si>
  <si>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</si>
  <si>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</si>
  <si>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</si>
  <si>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</si>
  <si>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</si>
  <si>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</si>
  <si>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</si>
  <si>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</si>
  <si>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</si>
  <si>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</si>
  <si>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</si>
  <si>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</si>
  <si>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</si>
  <si>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</si>
  <si>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</si>
  <si>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</si>
  <si>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</si>
  <si>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</si>
  <si>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</si>
  <si>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</si>
  <si>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</si>
  <si>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</si>
  <si>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</si>
  <si>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</si>
  <si>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</si>
  <si>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</si>
  <si>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</si>
  <si>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</si>
  <si>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</si>
  <si>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</si>
  <si>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</si>
  <si>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</si>
  <si>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</si>
  <si>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</si>
  <si>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</si>
  <si>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</si>
  <si>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</si>
  <si>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</si>
  <si>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</si>
  <si>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</si>
  <si>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</si>
  <si>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</si>
  <si>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</si>
  <si>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</si>
  <si>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</si>
  <si>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</si>
  <si>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</si>
  <si>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</si>
  <si>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</si>
  <si>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</si>
  <si>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</si>
  <si>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</si>
  <si>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</si>
  <si>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</si>
  <si>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</si>
  <si>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</si>
  <si>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</si>
  <si>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</si>
  <si>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</si>
  <si>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</si>
  <si>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</si>
  <si>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</si>
  <si>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</si>
  <si>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</si>
  <si>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</si>
  <si>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</si>
  <si>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</si>
  <si>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</si>
  <si>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</si>
  <si>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</si>
  <si>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</si>
  <si>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</si>
  <si>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</si>
  <si>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</si>
  <si>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</si>
  <si>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</si>
  <si>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</si>
  <si>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</si>
  <si>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</si>
  <si>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</si>
  <si>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</si>
  <si>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</si>
  <si>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</si>
  <si>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</si>
  <si>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</si>
  <si>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</si>
  <si>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</si>
  <si>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</si>
  <si>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</si>
  <si>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</si>
  <si>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</si>
  <si>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</si>
  <si>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</si>
  <si>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</si>
  <si>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</si>
  <si>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</si>
  <si>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</si>
  <si>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</si>
  <si>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</si>
  <si>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</si>
  <si>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</si>
  <si>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</si>
  <si>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</si>
  <si>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</si>
  <si>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</si>
  <si>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</si>
  <si>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</si>
  <si>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</si>
  <si>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</si>
  <si>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</si>
  <si>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</si>
  <si>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</si>
  <si>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</si>
  <si>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</si>
  <si>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</si>
  <si>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</si>
  <si>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</si>
  <si>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</si>
  <si>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</si>
  <si>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</si>
  <si>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</si>
  <si>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</si>
  <si>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</si>
  <si>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</si>
  <si>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</si>
  <si>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</si>
  <si>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</si>
  <si>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</si>
  <si>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</si>
  <si>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</si>
  <si>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</si>
  <si>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</si>
  <si>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</si>
  <si>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</si>
  <si>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</si>
  <si>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</si>
  <si>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</si>
  <si>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</si>
  <si>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</si>
  <si>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</si>
  <si>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</si>
  <si>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</si>
  <si>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</si>
  <si>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</si>
  <si>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</si>
  <si>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</si>
  <si>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</si>
  <si>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</si>
  <si>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</si>
  <si>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</si>
  <si>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</si>
  <si>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</si>
  <si>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</si>
  <si>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</si>
  <si>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</si>
  <si>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</si>
  <si>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</si>
  <si>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</si>
  <si>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</si>
  <si>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</si>
  <si>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</si>
  <si>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</si>
  <si>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</si>
  <si>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</si>
  <si>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</si>
  <si>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</si>
  <si>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</si>
  <si>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</si>
  <si>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</si>
  <si>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</si>
  <si>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</si>
  <si>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</si>
  <si>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</si>
  <si>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</si>
  <si>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</si>
  <si>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</si>
  <si>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</si>
  <si>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</si>
  <si>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</si>
  <si>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</si>
  <si>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</si>
  <si>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</si>
  <si>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</si>
  <si>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</si>
  <si>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</si>
  <si>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</si>
  <si>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</si>
  <si>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</si>
  <si>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</si>
  <si>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</si>
  <si>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</si>
  <si>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</si>
  <si>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</si>
  <si>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</si>
  <si>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</si>
  <si>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</si>
  <si>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</si>
  <si>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</si>
  <si>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</si>
  <si>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</si>
  <si>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</si>
  <si>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</si>
  <si>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</si>
  <si>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</si>
  <si>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</si>
  <si>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</si>
  <si>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</si>
  <si>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</si>
  <si>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</si>
  <si>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</si>
  <si>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</si>
  <si>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</si>
  <si>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</si>
  <si>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</si>
  <si>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</si>
  <si>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</si>
  <si>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</si>
  <si>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</si>
  <si>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</si>
  <si>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</si>
  <si>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</si>
  <si>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</si>
  <si>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</si>
  <si>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</si>
  <si>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</si>
  <si>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</si>
  <si>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</si>
  <si>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</si>
  <si>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</si>
  <si>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</si>
  <si>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</si>
  <si>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</si>
  <si>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</si>
  <si>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</si>
  <si>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</si>
  <si>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</si>
  <si>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</si>
  <si>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</si>
  <si>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</si>
  <si>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</si>
  <si>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</si>
  <si>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</si>
  <si>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</si>
  <si>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</si>
  <si>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</si>
  <si>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</si>
  <si>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</si>
  <si>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</si>
  <si>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</si>
  <si>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</si>
  <si>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</si>
  <si>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</si>
  <si>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</si>
  <si>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</si>
  <si>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</si>
  <si>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</si>
  <si>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</si>
  <si>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</si>
  <si>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</si>
  <si>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</si>
  <si>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</si>
  <si>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</si>
  <si>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</si>
  <si>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</si>
  <si>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</si>
  <si>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</si>
  <si>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</si>
  <si>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</si>
  <si>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</si>
  <si>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</si>
  <si>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</si>
  <si>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</si>
  <si>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</si>
  <si>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</si>
  <si>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</si>
  <si>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</si>
  <si>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</si>
  <si>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</si>
  <si>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</si>
  <si>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</si>
  <si>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</si>
  <si>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</si>
  <si>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</si>
  <si>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</si>
  <si>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</si>
  <si>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</si>
  <si>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</si>
  <si>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</si>
  <si>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</si>
  <si>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</si>
  <si>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</si>
  <si>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</si>
  <si>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</si>
  <si>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</si>
  <si>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</si>
  <si>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</si>
  <si>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</si>
  <si>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</si>
  <si>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</si>
  <si>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</si>
  <si>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</si>
  <si>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</si>
  <si>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</si>
  <si>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</si>
  <si>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</si>
  <si>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</si>
  <si>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</si>
  <si>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</si>
  <si>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</si>
  <si>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</si>
  <si>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</si>
  <si>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</si>
  <si>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</si>
  <si>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</si>
  <si>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</si>
  <si>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</si>
  <si>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</si>
  <si>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</si>
  <si>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</si>
  <si>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</si>
  <si>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</si>
  <si>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</si>
  <si>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</si>
  <si>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</si>
  <si>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</si>
  <si>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</si>
  <si>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</si>
  <si>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</si>
  <si>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</si>
  <si>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</si>
  <si>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</si>
  <si>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</si>
  <si>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</si>
  <si>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</si>
  <si>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</si>
  <si>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</si>
  <si>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</si>
  <si>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</si>
  <si>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</si>
  <si>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</si>
  <si>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</si>
  <si>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</si>
  <si>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</si>
  <si>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</si>
  <si>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</si>
  <si>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</si>
  <si>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</si>
  <si>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</si>
  <si>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</si>
  <si>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</si>
  <si>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</si>
  <si>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</si>
  <si>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</si>
  <si>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</si>
  <si>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</si>
  <si>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</si>
  <si>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</si>
  <si>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</si>
  <si>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</si>
  <si>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</si>
  <si>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</si>
  <si>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</si>
  <si>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</si>
  <si>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</si>
  <si>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</si>
  <si>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</si>
  <si>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</si>
  <si>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</si>
  <si>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</si>
  <si>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</si>
  <si>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</si>
  <si>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</si>
  <si>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</si>
  <si>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</si>
  <si>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</si>
  <si>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</si>
  <si>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</si>
  <si>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</si>
  <si>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</si>
  <si>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</si>
  <si>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</si>
  <si>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</si>
  <si>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</si>
  <si>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</si>
  <si>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</si>
  <si>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</si>
  <si>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</si>
  <si>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</si>
  <si>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</si>
  <si>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</si>
  <si>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</si>
  <si>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</si>
  <si>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</si>
  <si>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</si>
  <si>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</si>
  <si>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</si>
  <si>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</si>
  <si>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</si>
  <si>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</si>
  <si>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</si>
  <si>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</si>
  <si>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</si>
  <si>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</si>
  <si>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</si>
  <si>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</si>
  <si>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</si>
  <si>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</si>
  <si>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</si>
  <si>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</si>
  <si>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</si>
  <si>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</si>
  <si>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</si>
  <si>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</si>
  <si>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</si>
  <si>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</si>
  <si>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</si>
  <si>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</si>
  <si>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</si>
  <si>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</si>
  <si>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</si>
  <si>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</si>
  <si>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</si>
  <si>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</si>
  <si>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</si>
  <si>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</si>
  <si>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</si>
  <si>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</si>
  <si>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</si>
  <si>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</si>
  <si>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</si>
  <si>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</si>
  <si>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</si>
  <si>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</si>
  <si>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</si>
  <si>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</si>
  <si>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</si>
  <si>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</si>
  <si>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</si>
  <si>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</si>
  <si>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</si>
  <si>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</si>
  <si>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</si>
  <si>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</si>
  <si>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</si>
  <si>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</si>
  <si>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</si>
  <si>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</si>
  <si>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</si>
  <si>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</si>
  <si>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</si>
  <si>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</si>
  <si>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</si>
  <si>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</si>
  <si>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</si>
  <si>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</si>
  <si>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</si>
  <si>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</si>
  <si>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</si>
  <si>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</si>
  <si>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</si>
  <si>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</si>
  <si>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</si>
  <si>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</si>
  <si>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</si>
  <si>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</si>
  <si>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</si>
  <si>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</si>
  <si>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</si>
  <si>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</si>
  <si>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</si>
  <si>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</si>
  <si>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</si>
  <si>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</si>
  <si>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</si>
  <si>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</si>
  <si>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</si>
  <si>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</si>
  <si>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</si>
  <si>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</si>
  <si>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</si>
  <si>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</si>
  <si>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</si>
  <si>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</si>
  <si>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</si>
  <si>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</si>
  <si>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</si>
  <si>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</si>
  <si>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</si>
  <si>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</si>
  <si>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</si>
  <si>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</si>
  <si>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</si>
  <si>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</si>
  <si>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</si>
  <si>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</si>
  <si>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</si>
  <si>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</si>
  <si>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</si>
  <si>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</si>
  <si>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</si>
  <si>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</si>
  <si>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</si>
  <si>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</si>
  <si>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</si>
  <si>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</si>
  <si>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</si>
  <si>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</si>
  <si>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</si>
  <si>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</si>
  <si>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</si>
  <si>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</si>
  <si>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</si>
  <si>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</si>
  <si>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</si>
  <si>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</si>
  <si>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</si>
  <si>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</si>
  <si>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</si>
  <si>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</si>
  <si>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</si>
  <si>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</si>
  <si>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</si>
  <si>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</si>
  <si>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</si>
  <si>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</si>
  <si>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</si>
  <si>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</si>
  <si>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</si>
  <si>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</si>
  <si>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</si>
  <si>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</si>
  <si>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</si>
  <si>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</si>
  <si>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</si>
  <si>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</si>
  <si>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</si>
  <si>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</si>
  <si>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</si>
  <si>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</si>
  <si>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</si>
  <si>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</si>
  <si>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</si>
  <si>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</si>
  <si>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</si>
  <si>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</si>
  <si>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</si>
  <si>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</si>
  <si>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</si>
  <si>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</si>
  <si>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</si>
  <si>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</si>
  <si>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</si>
  <si>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</si>
  <si>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</si>
  <si>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</si>
  <si>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</si>
  <si>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</si>
  <si>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</si>
  <si>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</si>
  <si>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</si>
  <si>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</si>
  <si>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</si>
  <si>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</si>
  <si>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</si>
  <si>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</si>
  <si>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</si>
  <si>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</si>
  <si>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</si>
  <si>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</si>
  <si>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</si>
  <si>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</si>
  <si>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</si>
  <si>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</si>
  <si>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</si>
  <si>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</si>
  <si>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</si>
  <si>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</si>
  <si>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</si>
  <si>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</si>
  <si>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</si>
  <si>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</si>
  <si>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</si>
  <si>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</si>
  <si>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</si>
  <si>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</si>
  <si>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</si>
  <si>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</si>
  <si>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</si>
  <si>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</si>
  <si>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</si>
  <si>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</si>
  <si>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</si>
  <si>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</si>
  <si>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</si>
  <si>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</si>
  <si>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</si>
  <si>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</si>
  <si>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</si>
  <si>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</si>
  <si>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</si>
  <si>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</si>
  <si>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</si>
  <si>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</si>
  <si>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</si>
  <si>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</si>
  <si>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</si>
  <si>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</si>
  <si>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</si>
  <si>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</si>
  <si>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</si>
  <si>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</si>
  <si>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</si>
  <si>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</si>
  <si>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</si>
  <si>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</si>
  <si>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</si>
  <si>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</si>
  <si>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</si>
  <si>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</si>
  <si>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</si>
  <si>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</si>
  <si>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</si>
  <si>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</si>
  <si>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</si>
  <si>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</si>
  <si>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</si>
  <si>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</si>
  <si>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</si>
  <si>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</si>
  <si>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</si>
  <si>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</si>
  <si>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</si>
  <si>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</si>
  <si>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</si>
  <si>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</si>
  <si>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</si>
  <si>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</si>
  <si>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</si>
  <si>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</si>
  <si>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</si>
  <si>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</si>
  <si>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</si>
  <si>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</si>
  <si>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</si>
  <si>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</si>
  <si>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</si>
  <si>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</si>
  <si>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</si>
  <si>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</si>
  <si>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</si>
  <si>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</si>
  <si>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</si>
  <si>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</si>
  <si>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</si>
  <si>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</si>
  <si>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</si>
  <si>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</si>
  <si>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</si>
  <si>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</si>
  <si>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</si>
  <si>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</si>
  <si>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</si>
  <si>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</si>
  <si>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</si>
  <si>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</si>
  <si>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</si>
  <si>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</si>
  <si>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</si>
  <si>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</si>
  <si>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</si>
  <si>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</si>
  <si>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</si>
  <si>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</si>
  <si>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</si>
  <si>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</si>
  <si>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</si>
  <si>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</si>
  <si>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</si>
  <si>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</si>
  <si>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</si>
  <si>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</si>
  <si>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</si>
  <si>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</si>
  <si>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</si>
  <si>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</si>
  <si>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</si>
  <si>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</si>
  <si>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</si>
  <si>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</si>
  <si>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</si>
  <si>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</si>
  <si>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</si>
  <si>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</si>
  <si>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</si>
  <si>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</si>
  <si>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</si>
  <si>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</si>
  <si>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</si>
  <si>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</si>
  <si>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</si>
  <si>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</si>
  <si>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</si>
  <si>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</si>
  <si>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</si>
  <si>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</si>
  <si>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</si>
  <si>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</si>
  <si>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</si>
  <si>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</si>
  <si>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</si>
  <si>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</si>
  <si>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</si>
  <si>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</si>
  <si>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</si>
  <si>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</si>
  <si>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</si>
  <si>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</si>
  <si>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</si>
  <si>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</si>
  <si>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</si>
  <si>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</si>
  <si>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</si>
  <si>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</si>
  <si>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</si>
  <si>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</si>
  <si>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</si>
  <si>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</si>
  <si>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</si>
  <si>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</si>
  <si>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</si>
  <si>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</si>
  <si>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</si>
  <si>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</si>
  <si>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</si>
  <si>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</si>
  <si>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</si>
  <si>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</si>
  <si>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</si>
  <si>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</si>
  <si>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</si>
  <si>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</si>
  <si>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</si>
  <si>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</si>
  <si>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</si>
  <si>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</si>
  <si>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</si>
  <si>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</si>
  <si>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</si>
  <si>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</si>
  <si>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</si>
  <si>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</si>
  <si>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</si>
  <si>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</si>
  <si>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</si>
  <si>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</si>
  <si>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</si>
  <si>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</si>
  <si>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</si>
  <si>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</si>
  <si>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</si>
  <si>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</si>
  <si>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</si>
  <si>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</si>
  <si>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</si>
  <si>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</si>
  <si>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</si>
  <si>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</si>
  <si>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</si>
  <si>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</si>
  <si>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</si>
  <si>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</si>
  <si>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</si>
  <si>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</si>
  <si>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</si>
  <si>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</si>
  <si>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</si>
  <si>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</si>
  <si>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</si>
  <si>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</si>
  <si>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</si>
  <si>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</si>
  <si>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</si>
  <si>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</si>
  <si>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</si>
  <si>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</si>
  <si>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</si>
  <si>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</si>
  <si>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</si>
  <si>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</si>
  <si>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</si>
  <si>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</si>
  <si>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</si>
  <si>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</si>
  <si>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</si>
  <si>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</si>
  <si>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</si>
  <si>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</si>
  <si>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</si>
  <si>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</si>
  <si>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</si>
  <si>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</si>
  <si>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</si>
  <si>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</si>
  <si>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</si>
  <si>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</si>
  <si>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</si>
  <si>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</si>
  <si>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</si>
  <si>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</si>
  <si>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</si>
  <si>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</si>
  <si>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</si>
  <si>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</si>
  <si>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</si>
  <si>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</si>
  <si>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</si>
  <si>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</si>
  <si>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</si>
  <si>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</si>
  <si>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</si>
  <si>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</si>
  <si>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</si>
  <si>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</si>
  <si>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</si>
  <si>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</si>
  <si>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</si>
  <si>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</si>
  <si>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</si>
  <si>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</si>
  <si>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</si>
  <si>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</si>
  <si>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</si>
  <si>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</si>
  <si>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</si>
  <si>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</si>
  <si>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</si>
  <si>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</si>
  <si>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</si>
  <si>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</si>
  <si>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</si>
  <si>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</si>
  <si>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</si>
  <si>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</si>
  <si>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</si>
  <si>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</si>
  <si>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</si>
  <si>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</si>
  <si>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</si>
  <si>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</si>
  <si>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</si>
  <si>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</si>
  <si>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</si>
  <si>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</si>
  <si>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</si>
  <si>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</si>
  <si>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</si>
  <si>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</si>
  <si>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</si>
  <si>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</si>
  <si>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</si>
  <si>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</si>
  <si>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</si>
  <si>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</si>
  <si>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</si>
  <si>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</si>
  <si>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</si>
  <si>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</si>
  <si>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</si>
  <si>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</si>
  <si>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</si>
  <si>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</si>
  <si>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</si>
  <si>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</si>
  <si>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</si>
  <si>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</si>
  <si>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</si>
  <si>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</si>
  <si>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</si>
  <si>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</si>
  <si>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</si>
  <si>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</si>
  <si>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</si>
  <si>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</si>
  <si>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</si>
  <si>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</si>
  <si>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</si>
  <si>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</si>
  <si>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</si>
  <si>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</si>
  <si>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</si>
  <si>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</si>
  <si>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</si>
  <si>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</si>
  <si>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</si>
  <si>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</si>
  <si>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</si>
  <si>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</si>
  <si>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</si>
  <si>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</si>
  <si>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</si>
  <si>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</si>
  <si>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</si>
  <si>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</si>
  <si>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</si>
  <si>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</si>
  <si>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</si>
  <si>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</si>
  <si>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</si>
  <si>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</si>
  <si>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</si>
  <si>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</si>
  <si>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</si>
  <si>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</si>
  <si>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</si>
  <si>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</si>
  <si>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</si>
  <si>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</si>
  <si>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</si>
  <si>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</si>
  <si>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</si>
  <si>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</si>
  <si>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</si>
  <si>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</si>
  <si>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</si>
  <si>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</si>
  <si>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</si>
  <si>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</si>
  <si>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</si>
  <si>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</si>
  <si>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</si>
  <si>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</si>
  <si>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</si>
  <si>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</si>
  <si>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</si>
  <si>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</si>
  <si>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</si>
  <si>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</si>
  <si>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</si>
  <si>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</si>
  <si>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</si>
  <si>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</si>
  <si>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</si>
  <si>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</si>
  <si>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</si>
  <si>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</si>
  <si>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</si>
  <si>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</si>
  <si>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</si>
  <si>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</si>
  <si>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</si>
  <si>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</si>
  <si>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</si>
  <si>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</si>
  <si>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</si>
  <si>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</si>
  <si>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</si>
  <si>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</si>
  <si>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</si>
  <si>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</si>
  <si>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</si>
  <si>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</si>
  <si>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</si>
  <si>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</si>
  <si>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</si>
  <si>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</si>
  <si>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</si>
  <si>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</si>
  <si>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</si>
  <si>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</si>
  <si>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</si>
  <si>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</si>
  <si>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</si>
  <si>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</si>
  <si>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</si>
  <si>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</si>
  <si>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</si>
  <si>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</si>
  <si>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</si>
  <si>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</si>
  <si>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</si>
  <si>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</si>
  <si>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</si>
  <si>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</si>
  <si>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</si>
  <si>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</si>
  <si>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</si>
  <si>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</si>
  <si>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</si>
  <si>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</si>
  <si>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</si>
  <si>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</si>
  <si>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</si>
  <si>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</si>
  <si>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</si>
  <si>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</si>
  <si>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</si>
  <si>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</si>
  <si>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</si>
  <si>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</si>
  <si>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</si>
  <si>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</si>
  <si>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</si>
  <si>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</si>
  <si>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</si>
  <si>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</si>
  <si>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</si>
  <si>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</si>
  <si>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</si>
  <si>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</si>
  <si>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</si>
  <si>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</si>
  <si>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</si>
  <si>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</si>
  <si>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</si>
  <si>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</si>
  <si>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</si>
  <si>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</si>
  <si>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</si>
  <si>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</si>
  <si>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</si>
  <si>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</si>
  <si>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</si>
  <si>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</si>
  <si>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</si>
  <si>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</si>
  <si>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</si>
  <si>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</si>
  <si>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</si>
  <si>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</si>
  <si>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</si>
  <si>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</si>
  <si>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</si>
  <si>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</si>
  <si>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</si>
  <si>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</si>
  <si>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</si>
  <si>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</si>
  <si>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</si>
  <si>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</si>
  <si>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</si>
  <si>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</si>
  <si>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</si>
  <si>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</si>
  <si>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</si>
  <si>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</si>
  <si>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</si>
  <si>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</si>
  <si>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</si>
  <si>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</si>
  <si>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</si>
  <si>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</si>
  <si>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</si>
  <si>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</si>
  <si>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</si>
  <si>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</si>
  <si>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</si>
  <si>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</si>
  <si>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</si>
  <si>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</si>
  <si>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</si>
  <si>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</si>
  <si>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</si>
  <si>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</si>
  <si>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</si>
  <si>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</si>
  <si>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</si>
  <si>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</si>
  <si>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</si>
  <si>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</si>
  <si>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</si>
  <si>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</si>
  <si>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</si>
  <si>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</si>
  <si>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</si>
  <si>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</si>
  <si>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</si>
  <si>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</si>
  <si>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</si>
  <si>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</si>
  <si>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</si>
  <si>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</si>
  <si>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</si>
  <si>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</si>
  <si>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</si>
  <si>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</si>
  <si>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</si>
  <si>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</si>
  <si>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</si>
  <si>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</si>
  <si>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</si>
  <si>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</si>
  <si>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</si>
  <si>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</si>
  <si>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</si>
  <si>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</si>
  <si>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</si>
  <si>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</si>
  <si>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</si>
  <si>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</si>
  <si>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</si>
  <si>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</si>
  <si>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</si>
  <si>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</si>
  <si>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</si>
  <si>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</si>
  <si>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</si>
  <si>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</si>
  <si>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</si>
  <si>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</si>
  <si>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</si>
  <si>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</si>
  <si>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</si>
  <si>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</si>
  <si>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</si>
  <si>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</si>
  <si>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</si>
  <si>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</si>
  <si>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</si>
  <si>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</si>
  <si>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</si>
  <si>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</si>
  <si>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</si>
  <si>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</si>
  <si>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</si>
  <si>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</si>
  <si>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</si>
  <si>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</si>
  <si>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</si>
  <si>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</si>
  <si>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</si>
  <si>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</si>
  <si>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</si>
  <si>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</si>
  <si>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</si>
  <si>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</si>
  <si>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</si>
  <si>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</si>
  <si>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</si>
  <si>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</si>
  <si>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</si>
  <si>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</si>
  <si>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</si>
  <si>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</si>
  <si>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</si>
  <si>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</si>
  <si>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</si>
  <si>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</si>
  <si>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</si>
  <si>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</si>
  <si>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</si>
  <si>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</si>
  <si>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</si>
  <si>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</si>
  <si>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</si>
  <si>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</si>
  <si>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</si>
  <si>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</si>
  <si>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</si>
  <si>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</si>
  <si>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</si>
  <si>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</si>
  <si>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</si>
  <si>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</si>
  <si>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</si>
  <si>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</si>
  <si>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</si>
  <si>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</si>
  <si>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</si>
  <si>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</si>
  <si>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</si>
  <si>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</si>
  <si>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</si>
  <si>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</si>
  <si>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</si>
  <si>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</si>
  <si>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</si>
  <si>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</si>
  <si>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</si>
  <si>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</si>
  <si>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</si>
  <si>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</si>
  <si>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</si>
  <si>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</si>
  <si>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</si>
  <si>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</si>
  <si>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</si>
  <si>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</si>
  <si>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</si>
  <si>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</si>
  <si>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</si>
  <si>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</si>
  <si>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</si>
  <si>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</si>
  <si>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</si>
  <si>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</si>
  <si>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</si>
  <si>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</si>
  <si>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</si>
  <si>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</si>
  <si>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</si>
  <si>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</si>
  <si>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</si>
  <si>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</si>
  <si>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</si>
  <si>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</si>
  <si>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</si>
  <si>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</si>
  <si>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</si>
  <si>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</si>
  <si>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</si>
  <si>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</si>
  <si>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</si>
  <si>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</si>
  <si>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</si>
  <si>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</si>
  <si>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</si>
  <si>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</si>
  <si>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</si>
  <si>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</si>
  <si>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</si>
  <si>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</si>
  <si>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</si>
  <si>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</si>
  <si>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</si>
  <si>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</si>
  <si>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</si>
  <si>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</si>
  <si>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</si>
  <si>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</si>
  <si>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</si>
  <si>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</si>
  <si>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</si>
  <si>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</si>
  <si>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</si>
  <si>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</si>
  <si>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</si>
  <si>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</si>
  <si>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</si>
  <si>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</si>
  <si>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</si>
  <si>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</si>
  <si>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</si>
  <si>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</si>
  <si>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</si>
  <si>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</si>
  <si>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</si>
  <si>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</si>
  <si>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</si>
  <si>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</si>
  <si>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</si>
  <si>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</si>
  <si>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</si>
  <si>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</si>
  <si>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</si>
  <si>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</si>
  <si>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</si>
  <si>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</si>
  <si>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</si>
  <si>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</si>
  <si>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</si>
  <si>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</si>
  <si>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</si>
  <si>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</si>
  <si>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</si>
  <si>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</si>
  <si>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</si>
  <si>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</si>
  <si>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</si>
  <si>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</si>
  <si>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</si>
  <si>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</si>
  <si>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</si>
  <si>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</si>
  <si>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</si>
  <si>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</si>
  <si>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</si>
  <si>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</si>
  <si>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</si>
  <si>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</si>
  <si>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</si>
  <si>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</si>
  <si>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</si>
  <si>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</si>
  <si>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</si>
  <si>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</si>
  <si>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</si>
  <si>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</si>
  <si>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</si>
  <si>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</si>
  <si>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</si>
  <si>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</si>
  <si>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</si>
  <si>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</si>
  <si>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</si>
  <si>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</si>
  <si>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</si>
  <si>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</si>
  <si>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</si>
  <si>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</si>
  <si>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</si>
  <si>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</si>
  <si>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</si>
  <si>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</si>
  <si>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</si>
  <si>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</si>
  <si>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</si>
  <si>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</si>
  <si>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</si>
  <si>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</si>
  <si>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</si>
  <si>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</si>
  <si>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</si>
  <si>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</si>
  <si>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</si>
  <si>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</si>
  <si>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</si>
  <si>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</si>
  <si>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</si>
  <si>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</si>
  <si>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</si>
  <si>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</si>
  <si>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</si>
  <si>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</si>
  <si>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</si>
  <si>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</si>
  <si>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</si>
  <si>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</si>
  <si>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</si>
  <si>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</si>
  <si>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</si>
  <si>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</si>
  <si>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</si>
  <si>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</si>
  <si>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</si>
  <si>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</si>
  <si>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</si>
  <si>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</si>
  <si>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</si>
  <si>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</si>
  <si>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</si>
  <si>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</si>
  <si>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</si>
  <si>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</si>
  <si>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</si>
  <si>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</si>
  <si>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</si>
  <si>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</si>
  <si>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</si>
  <si>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</si>
  <si>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</si>
  <si>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</si>
  <si>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</si>
  <si>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</si>
  <si>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</si>
  <si>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</si>
  <si>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</si>
  <si>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</si>
  <si>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</si>
  <si>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</si>
  <si>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</si>
  <si>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</si>
  <si>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</si>
  <si>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</si>
  <si>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</si>
  <si>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</si>
  <si>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</si>
  <si>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</si>
  <si>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</si>
  <si>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</si>
  <si>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</si>
  <si>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</si>
  <si>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</si>
  <si>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</si>
  <si>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</si>
  <si>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</si>
  <si>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</si>
  <si>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</si>
  <si>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</si>
  <si>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</si>
  <si>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</si>
  <si>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</si>
  <si>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</si>
  <si>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</si>
  <si>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</si>
  <si>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</si>
  <si>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</si>
  <si>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</si>
  <si>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</si>
  <si>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</si>
  <si>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</si>
  <si>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</si>
  <si>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</si>
  <si>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</si>
  <si>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</si>
  <si>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</si>
  <si>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</si>
  <si>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</si>
  <si>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</si>
  <si>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</si>
  <si>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</si>
  <si>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</si>
  <si>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</si>
  <si>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</si>
  <si>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</si>
  <si>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</si>
  <si>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</si>
  <si>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</si>
  <si>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</si>
  <si>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</si>
  <si>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</si>
  <si>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</si>
  <si>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</si>
  <si>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</si>
  <si>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</si>
  <si>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</si>
  <si>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</si>
  <si>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</si>
  <si>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</si>
  <si>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</si>
  <si>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</si>
  <si>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</si>
  <si>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</si>
  <si>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</si>
  <si>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</si>
  <si>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</si>
  <si>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</si>
  <si>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</si>
  <si>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</si>
  <si>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</si>
  <si>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</si>
  <si>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</si>
  <si>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</si>
  <si>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</si>
  <si>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</si>
  <si>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</si>
  <si>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</si>
  <si>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</si>
  <si>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</si>
  <si>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</si>
  <si>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</si>
  <si>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</si>
  <si>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</si>
  <si>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</si>
  <si>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</si>
  <si>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</si>
  <si>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</si>
  <si>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</si>
  <si>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</si>
  <si>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</si>
  <si>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</si>
  <si>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</si>
  <si>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</si>
  <si>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</si>
  <si>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</si>
  <si>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</si>
  <si>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</si>
  <si>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</si>
  <si>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</si>
  <si>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</si>
  <si>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</si>
  <si>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</si>
  <si>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</si>
  <si>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</si>
  <si>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</si>
  <si>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</si>
  <si>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</si>
  <si>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</si>
  <si>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</si>
  <si>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</si>
  <si>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</si>
  <si>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</si>
  <si>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</si>
  <si>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</si>
  <si>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</si>
  <si>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</si>
  <si>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</si>
  <si>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</si>
  <si>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</si>
  <si>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</si>
  <si>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</si>
  <si>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</si>
  <si>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</si>
  <si>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</si>
  <si>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</si>
  <si>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</si>
  <si>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</si>
  <si>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</si>
  <si>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</si>
  <si>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</si>
  <si>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</si>
  <si>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</si>
  <si>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</si>
  <si>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</si>
  <si>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</si>
  <si>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</si>
  <si>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</si>
  <si>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</si>
  <si>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</si>
  <si>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</si>
  <si>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</si>
  <si>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</si>
  <si>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</si>
  <si>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</si>
  <si>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</si>
  <si>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</si>
  <si>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</si>
  <si>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</si>
  <si>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</si>
  <si>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</si>
  <si>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</si>
  <si>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</si>
  <si>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</si>
  <si>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</si>
  <si>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</si>
  <si>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</si>
  <si>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</si>
  <si>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</si>
  <si>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</si>
  <si>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</si>
  <si>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</si>
  <si>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</si>
  <si>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</si>
  <si>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</si>
  <si>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</si>
  <si>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</si>
  <si>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</si>
  <si>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</si>
  <si>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</si>
  <si>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</si>
  <si>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</si>
  <si>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</si>
  <si>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</si>
  <si>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</si>
  <si>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</si>
  <si>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</si>
  <si>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</si>
  <si>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</si>
  <si>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</si>
  <si>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</si>
  <si>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</si>
  <si>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</si>
  <si>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</si>
  <si>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</si>
  <si>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</si>
  <si>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</si>
  <si>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</si>
  <si>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</si>
  <si>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</si>
  <si>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</si>
  <si>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</si>
  <si>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</si>
  <si>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</si>
  <si>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</si>
  <si>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</si>
  <si>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</si>
  <si>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</si>
  <si>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</si>
  <si>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</si>
  <si>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</si>
  <si>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</si>
  <si>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</si>
  <si>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</si>
  <si>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</si>
  <si>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</si>
  <si>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</si>
  <si>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</si>
  <si>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</si>
  <si>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</si>
  <si>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</si>
  <si>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</si>
  <si>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</si>
  <si>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</si>
  <si>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</si>
  <si>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</si>
  <si>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</si>
  <si>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</si>
  <si>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</si>
  <si>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</si>
  <si>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</si>
  <si>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</si>
  <si>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</si>
  <si>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</si>
  <si>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</si>
  <si>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</si>
  <si>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</si>
  <si>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</si>
  <si>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</si>
  <si>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</si>
  <si>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</si>
  <si>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</si>
  <si>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</si>
  <si>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</si>
  <si>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</si>
  <si>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</si>
  <si>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</si>
  <si>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</si>
  <si>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</si>
  <si>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</si>
  <si>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</si>
  <si>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</si>
  <si>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</si>
  <si>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</si>
  <si>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</si>
  <si>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</si>
  <si>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</si>
  <si>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</si>
  <si>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</si>
  <si>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</si>
  <si>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</si>
  <si>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</si>
  <si>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</si>
  <si>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</si>
  <si>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</si>
  <si>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</si>
  <si>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</si>
  <si>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</si>
  <si>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</si>
  <si>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</si>
  <si>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</si>
  <si>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</si>
  <si>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</si>
  <si>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</si>
  <si>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</si>
  <si>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</si>
  <si>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</si>
  <si>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</si>
  <si>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</si>
  <si>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</si>
  <si>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</si>
  <si>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</si>
  <si>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</si>
  <si>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</si>
  <si>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</si>
  <si>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</si>
  <si>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</si>
  <si>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</si>
  <si>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</si>
  <si>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</si>
  <si>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</si>
  <si>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</si>
  <si>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</si>
  <si>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</si>
  <si>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</si>
  <si>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</si>
  <si>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</si>
  <si>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</si>
  <si>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</si>
  <si>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</si>
  <si>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</si>
  <si>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</si>
  <si>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</si>
  <si>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</si>
  <si>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</si>
  <si>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</si>
  <si>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</si>
  <si>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</si>
  <si>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</si>
  <si>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</si>
  <si>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</si>
  <si>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</si>
  <si>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</si>
  <si>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</si>
  <si>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</si>
  <si>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</si>
  <si>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</si>
  <si>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</si>
  <si>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</si>
  <si>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</si>
  <si>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</si>
  <si>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</si>
  <si>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</si>
  <si>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</si>
  <si>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</si>
  <si>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</si>
  <si>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</si>
  <si>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</si>
  <si>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</si>
  <si>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</si>
  <si>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</si>
  <si>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</si>
  <si>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</si>
  <si>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</si>
  <si>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</si>
  <si>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</si>
  <si>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</si>
  <si>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</si>
  <si>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</si>
  <si>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</si>
  <si>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</si>
  <si>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</si>
  <si>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</si>
  <si>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</si>
  <si>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</si>
  <si>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</si>
  <si>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</si>
  <si>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</si>
  <si>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</si>
  <si>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</si>
  <si>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</si>
  <si>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</si>
  <si>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</si>
  <si>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</si>
  <si>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</si>
  <si>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</si>
  <si>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</si>
  <si>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</si>
  <si>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</si>
  <si>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</si>
  <si>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</si>
  <si>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</si>
  <si>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</si>
  <si>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</si>
  <si>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</si>
  <si>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</si>
  <si>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</si>
  <si>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</si>
  <si>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</si>
  <si>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</si>
  <si>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</si>
  <si>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</si>
  <si>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</si>
  <si>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</si>
  <si>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</si>
  <si>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</si>
  <si>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</si>
  <si>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</si>
  <si>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</si>
  <si>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</si>
  <si>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</si>
  <si>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</si>
  <si>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</si>
  <si>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</si>
  <si>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</si>
  <si>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</si>
  <si>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</si>
  <si>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</si>
  <si>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</si>
  <si>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</si>
  <si>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</si>
  <si>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</si>
  <si>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</si>
  <si>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</si>
  <si>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</si>
  <si>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</si>
  <si>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</si>
  <si>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</si>
  <si>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</si>
  <si>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</si>
  <si>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</si>
  <si>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</si>
  <si>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</si>
  <si>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</si>
  <si>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</si>
  <si>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</si>
  <si>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</si>
  <si>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</si>
  <si>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</si>
  <si>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</si>
  <si>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</si>
  <si>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</si>
  <si>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</si>
  <si>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</si>
  <si>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</si>
  <si>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</si>
  <si>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</si>
  <si>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</si>
  <si>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</si>
  <si>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</si>
  <si>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</si>
  <si>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</si>
  <si>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</si>
  <si>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</si>
  <si>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</si>
  <si>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</si>
  <si>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</si>
  <si>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</si>
  <si>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</si>
  <si>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</si>
  <si>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</si>
  <si>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</si>
  <si>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</si>
  <si>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</si>
  <si>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</si>
  <si>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</si>
  <si>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</si>
  <si>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</si>
  <si>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</si>
  <si>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</si>
  <si>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</si>
  <si>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</si>
  <si>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</si>
  <si>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</si>
  <si>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</si>
  <si>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</si>
  <si>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</si>
  <si>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</si>
  <si>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</si>
  <si>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</si>
  <si>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</si>
  <si>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</si>
  <si>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</si>
  <si>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</si>
  <si>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</si>
  <si>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</si>
  <si>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</si>
  <si>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</si>
  <si>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</si>
  <si>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</si>
  <si>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</si>
  <si>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</si>
  <si>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</si>
  <si>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</si>
  <si>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</si>
  <si>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</si>
  <si>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</si>
  <si>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</si>
  <si>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</si>
  <si>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</si>
  <si>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</si>
  <si>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</si>
  <si>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</si>
  <si>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</si>
  <si>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</si>
  <si>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</si>
  <si>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</si>
  <si>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</si>
  <si>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</si>
  <si>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</si>
  <si>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</si>
  <si>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</si>
  <si>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</si>
  <si>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</si>
  <si>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</si>
  <si>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</si>
  <si>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</si>
  <si>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</si>
  <si>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</si>
  <si>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</si>
  <si>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</si>
  <si>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</si>
  <si>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</si>
  <si>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</si>
  <si>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</si>
  <si>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</si>
  <si>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</si>
  <si>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</si>
  <si>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</si>
  <si>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</si>
  <si>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</si>
  <si>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</si>
  <si>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</si>
  <si>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</si>
  <si>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</si>
  <si>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</si>
  <si>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</si>
  <si>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</si>
  <si>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</si>
  <si>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</si>
  <si>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</si>
  <si>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</si>
  <si>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</si>
  <si>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</si>
  <si>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</si>
  <si>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</si>
  <si>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</si>
  <si>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</si>
  <si>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</si>
  <si>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</si>
  <si>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</si>
  <si>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</si>
  <si>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</si>
  <si>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</si>
  <si>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</si>
  <si>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</si>
  <si>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</si>
  <si>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</si>
  <si>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</si>
  <si>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</si>
  <si>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</si>
  <si>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</si>
  <si>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</si>
  <si>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</si>
  <si>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</si>
  <si>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</si>
  <si>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</si>
  <si>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</si>
  <si>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</si>
  <si>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</si>
  <si>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</si>
  <si>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</si>
  <si>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</si>
  <si>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</si>
  <si>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</si>
  <si>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</si>
  <si>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</si>
  <si>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</si>
  <si>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</si>
  <si>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</si>
  <si>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</si>
  <si>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</si>
  <si>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</si>
  <si>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</si>
  <si>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</si>
  <si>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</si>
  <si>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</si>
  <si>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</si>
  <si>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</si>
  <si>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</si>
  <si>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</si>
  <si>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</si>
  <si>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</si>
  <si>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</si>
  <si>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</si>
  <si>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</si>
  <si>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</si>
  <si>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</si>
  <si>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</si>
  <si>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</si>
  <si>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</si>
  <si>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</si>
  <si>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</si>
  <si>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</si>
  <si>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</si>
  <si>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</si>
  <si>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</si>
  <si>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</si>
  <si>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</si>
  <si>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</si>
  <si>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</si>
  <si>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</si>
  <si>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</si>
  <si>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</si>
  <si>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</si>
  <si>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</si>
  <si>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</si>
  <si>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</si>
  <si>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</si>
  <si>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</si>
  <si>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</si>
  <si>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</si>
  <si>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</si>
  <si>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</si>
  <si>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</si>
  <si>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</si>
  <si>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</si>
  <si>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</si>
  <si>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</si>
  <si>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</si>
  <si>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</si>
  <si>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</si>
  <si>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</si>
  <si>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</si>
  <si>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</si>
  <si>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</si>
  <si>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</si>
  <si>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</si>
  <si>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</si>
  <si>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</si>
  <si>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</si>
  <si>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</si>
  <si>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</si>
  <si>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</si>
  <si>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</si>
  <si>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</si>
  <si>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</si>
  <si>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</si>
  <si>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</si>
  <si>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</si>
  <si>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</si>
  <si>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</si>
  <si>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</si>
  <si>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</si>
  <si>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</si>
  <si>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</si>
  <si>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</si>
  <si>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</si>
  <si>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</si>
  <si>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</si>
  <si>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</si>
  <si>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</si>
  <si>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</si>
  <si>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</si>
  <si>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</si>
  <si>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</si>
  <si>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</si>
  <si>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</si>
  <si>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</si>
  <si>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</si>
  <si>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</si>
  <si>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</si>
  <si>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</si>
  <si>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</si>
  <si>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</si>
  <si>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</si>
  <si>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</si>
  <si>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</si>
  <si>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</si>
  <si>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</si>
  <si>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</si>
  <si>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</si>
  <si>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</si>
  <si>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</si>
  <si>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</si>
  <si>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</si>
  <si>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</si>
  <si>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</si>
  <si>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</si>
  <si>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</si>
  <si>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</si>
  <si>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</si>
  <si>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</si>
  <si>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</si>
  <si>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</si>
  <si>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</si>
  <si>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</si>
  <si>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</si>
  <si>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</si>
  <si>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</si>
  <si>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</si>
  <si>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</si>
  <si>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</si>
  <si>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</si>
  <si>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</si>
  <si>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</si>
  <si>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</si>
  <si>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</si>
  <si>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</si>
  <si>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</si>
  <si>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</si>
  <si>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</si>
  <si>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</si>
  <si>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</si>
  <si>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</si>
  <si>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</si>
  <si>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</si>
  <si>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</si>
  <si>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</si>
  <si>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</si>
  <si>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</si>
  <si>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</si>
  <si>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</si>
  <si>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</si>
  <si>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</si>
  <si>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</si>
  <si>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</si>
  <si>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</si>
  <si>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</si>
  <si>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</si>
  <si>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</si>
  <si>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</si>
  <si>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</si>
  <si>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</si>
  <si>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</si>
  <si>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</si>
  <si>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</si>
  <si>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</si>
  <si>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</si>
  <si>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</si>
  <si>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</si>
  <si>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</si>
  <si>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</si>
  <si>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</si>
  <si>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</si>
  <si>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</si>
  <si>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</si>
  <si>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</si>
  <si>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</si>
  <si>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</si>
  <si>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</si>
  <si>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</si>
  <si>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</si>
  <si>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</si>
  <si>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</si>
  <si>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</si>
  <si>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</si>
  <si>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</si>
  <si>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</si>
  <si>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</si>
  <si>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</si>
  <si>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</si>
  <si>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</si>
  <si>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</si>
  <si>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</si>
  <si>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</si>
  <si>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</si>
  <si>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</si>
  <si>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</si>
  <si>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</si>
  <si>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</si>
  <si>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</si>
  <si>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</si>
  <si>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</si>
  <si>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</si>
  <si>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</si>
  <si>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</si>
  <si>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</si>
  <si>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</si>
  <si>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</si>
  <si>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</si>
  <si>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</si>
  <si>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</si>
  <si>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</si>
  <si>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</si>
  <si>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</si>
  <si>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</si>
  <si>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</si>
  <si>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</si>
  <si>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</si>
  <si>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</si>
  <si>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</si>
  <si>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</si>
  <si>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</si>
  <si>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</si>
  <si>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</si>
  <si>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</si>
  <si>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</si>
  <si>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</si>
  <si>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</si>
  <si>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</si>
  <si>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</si>
  <si>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</si>
  <si>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</si>
  <si>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</si>
  <si>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</si>
  <si>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</si>
  <si>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</si>
  <si>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</si>
  <si>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</si>
  <si>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</si>
  <si>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</si>
  <si>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</si>
  <si>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</si>
  <si>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</si>
  <si>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</si>
  <si>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</si>
  <si>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</si>
  <si>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</si>
  <si>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</si>
  <si>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</si>
  <si>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</si>
  <si>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</si>
  <si>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</si>
  <si>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</si>
  <si>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</si>
  <si>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</si>
  <si>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</si>
  <si>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</si>
  <si>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</si>
  <si>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</si>
  <si>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</si>
  <si>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</si>
  <si>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</si>
  <si>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</si>
  <si>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</si>
  <si>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</si>
  <si>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</si>
  <si>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</si>
  <si>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</si>
  <si>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</si>
  <si>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</si>
  <si>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</si>
  <si>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</si>
  <si>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</si>
  <si>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</si>
  <si>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</si>
  <si>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</si>
  <si>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</si>
  <si>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</si>
  <si>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</si>
  <si>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</si>
  <si>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</si>
  <si>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</si>
  <si>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</si>
  <si>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5661 تا 184.6 حساب سارا</t>
  </si>
  <si>
    <t>وغدیر سارا</t>
  </si>
  <si>
    <t>بدهی به سارا نقدی 4/9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</si>
  <si>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</si>
  <si>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</si>
  <si>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</si>
  <si>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</si>
  <si>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</si>
  <si>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</si>
  <si>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</si>
  <si>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</si>
  <si>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</si>
  <si>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</si>
  <si>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</si>
  <si>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</si>
  <si>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</si>
  <si>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</si>
  <si>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</si>
  <si>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</si>
  <si>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</si>
  <si>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</si>
  <si>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</si>
  <si>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</si>
  <si>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</si>
  <si>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</si>
  <si>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</si>
  <si>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</si>
  <si>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</si>
  <si>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</si>
  <si>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</si>
  <si>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</si>
  <si>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</si>
  <si>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</si>
  <si>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</si>
  <si>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</si>
  <si>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</si>
  <si>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</si>
  <si>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</si>
  <si>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</si>
  <si>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</si>
  <si>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</si>
  <si>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</si>
  <si>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</si>
  <si>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</si>
  <si>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</si>
  <si>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</si>
  <si>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</si>
  <si>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</si>
  <si>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</si>
  <si>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</si>
  <si>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</si>
  <si>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</si>
  <si>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</si>
  <si>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</si>
  <si>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</si>
  <si>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</si>
  <si>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</si>
  <si>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</si>
  <si>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</si>
  <si>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</si>
  <si>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</si>
  <si>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</si>
  <si>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</si>
  <si>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</si>
  <si>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</si>
  <si>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</si>
  <si>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</si>
  <si>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</si>
  <si>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</si>
  <si>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</si>
  <si>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</si>
  <si>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</si>
  <si>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</si>
  <si>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</si>
  <si>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</si>
  <si>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</si>
  <si>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</si>
  <si>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</si>
  <si>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</si>
  <si>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</si>
  <si>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</si>
  <si>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</si>
  <si>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</si>
  <si>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</si>
  <si>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</si>
  <si>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</si>
  <si>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</si>
  <si>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 xml:space="preserve">وغدیر 9705 تا 184.6 که 2715 تا حساب مریم </t>
  </si>
  <si>
    <t>17/9/1397</t>
  </si>
  <si>
    <t>سکه9812 تعداد 10 قیمت 389000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</si>
  <si>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</si>
  <si>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</si>
  <si>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</si>
  <si>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</si>
  <si>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</si>
  <si>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وغدیر 34000 تا میانگین خرید 172.2</t>
  </si>
  <si>
    <t>مریم تسویه کرد</t>
  </si>
  <si>
    <t>پول اس ام 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</si>
</sst>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selection activeCell="E22" sqref="E22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4472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4482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4490</v>
      </c>
      <c r="B6" s="18">
        <v>3000000</v>
      </c>
      <c r="C6" s="18">
        <v>0</v>
      </c>
      <c r="D6" s="113">
        <f t="shared" si="0"/>
        <v>3000000</v>
      </c>
      <c r="E6" s="19" t="s">
        <v>4491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4481</v>
      </c>
      <c r="B7" s="18">
        <v>-2000700</v>
      </c>
      <c r="C7" s="18">
        <v>0</v>
      </c>
      <c r="D7" s="113">
        <f t="shared" si="0"/>
        <v>-2000700</v>
      </c>
      <c r="E7" s="19" t="s">
        <v>4522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4481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4481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4481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4531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4531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4541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4552</v>
      </c>
      <c r="B16" s="18">
        <v>12000000</v>
      </c>
      <c r="C16" s="18">
        <v>0</v>
      </c>
      <c r="D16" s="113">
        <f t="shared" si="0"/>
        <v>12000000</v>
      </c>
      <c r="E16" s="20" t="s">
        <v>4553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4554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4557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4560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4560</v>
      </c>
      <c r="B20" s="18">
        <v>0</v>
      </c>
      <c r="C20" s="18">
        <v>-8034286</v>
      </c>
      <c r="D20" s="113">
        <f t="shared" si="0"/>
        <v>8034286</v>
      </c>
      <c r="E20" s="19" t="s">
        <v>4565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4560</v>
      </c>
      <c r="B21" s="18">
        <v>-10000</v>
      </c>
      <c r="C21" s="18">
        <v>0</v>
      </c>
      <c r="D21" s="113">
        <f t="shared" si="0"/>
        <v>-10000</v>
      </c>
      <c r="E21" s="19" t="s">
        <v>4566</v>
      </c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1516525</v>
      </c>
      <c r="C27" s="113">
        <f>SUM(C2:C26)</f>
        <v>0</v>
      </c>
      <c r="D27" s="113">
        <f>SUM(D2:D26)</f>
        <v>1516525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44653323</v>
      </c>
      <c r="H28" s="18">
        <f>SUM(H2:H26)</f>
        <v>136582862</v>
      </c>
      <c r="I28" s="18">
        <f>SUM(I2:I26)</f>
        <v>-91929539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4519</v>
      </c>
      <c r="F33" s="96"/>
      <c r="G33" s="18">
        <v>600</v>
      </c>
      <c r="H33" s="18">
        <f>G33*H28/G28</f>
        <v>1835.2434196218724</v>
      </c>
      <c r="I33" s="18">
        <f>G33*I28/G28</f>
        <v>-1235.2434196218724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4523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4525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4528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4545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4546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4547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ht="30">
      <c r="A42" s="96"/>
      <c r="B42" s="96"/>
      <c r="C42" s="96"/>
      <c r="D42" s="114">
        <v>300000</v>
      </c>
      <c r="E42" s="54" t="s">
        <v>4555</v>
      </c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124969</v>
      </c>
      <c r="E43" s="54" t="s">
        <v>4017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54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f>SUM(D33:D48)</f>
        <v>2281018</v>
      </c>
      <c r="E49" s="96" t="s">
        <v>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/>
      <c r="E50" s="41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45" activePane="bottomLeft" state="frozen"/>
      <selection pane="bottomLeft" activeCell="C262" sqref="C26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975</v>
      </c>
      <c r="H2" s="36">
        <f>IF(B2&gt;0,1,0)</f>
        <v>1</v>
      </c>
      <c r="I2" s="11">
        <f>B2*(G2-H2)</f>
        <v>16265800</v>
      </c>
      <c r="J2" s="53">
        <f>C2*(G2-H2)</f>
        <v>16265800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974</v>
      </c>
      <c r="H3" s="36">
        <f t="shared" ref="H3:H66" si="2">IF(B3&gt;0,1,0)</f>
        <v>1</v>
      </c>
      <c r="I3" s="11">
        <f t="shared" ref="I3:I66" si="3">B3*(G3-H3)</f>
        <v>19362700000</v>
      </c>
      <c r="J3" s="53">
        <f t="shared" ref="J3:J66" si="4">C3*(G3-H3)</f>
        <v>11079551000</v>
      </c>
      <c r="K3" s="53">
        <f t="shared" ref="K3:K66" si="5">D3*(G3-H3)</f>
        <v>8283149000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974</v>
      </c>
      <c r="H4" s="36">
        <f t="shared" si="2"/>
        <v>0</v>
      </c>
      <c r="I4" s="11">
        <f t="shared" si="3"/>
        <v>0</v>
      </c>
      <c r="J4" s="53">
        <f t="shared" si="4"/>
        <v>8279000</v>
      </c>
      <c r="K4" s="53">
        <f t="shared" si="5"/>
        <v>-8279000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972</v>
      </c>
      <c r="H5" s="36">
        <f t="shared" si="2"/>
        <v>1</v>
      </c>
      <c r="I5" s="11">
        <f t="shared" si="3"/>
        <v>1942000000</v>
      </c>
      <c r="J5" s="53">
        <f t="shared" si="4"/>
        <v>0</v>
      </c>
      <c r="K5" s="53">
        <f t="shared" si="5"/>
        <v>1942000000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965</v>
      </c>
      <c r="H6" s="36">
        <f t="shared" si="2"/>
        <v>0</v>
      </c>
      <c r="I6" s="11">
        <f t="shared" si="3"/>
        <v>-4825000</v>
      </c>
      <c r="J6" s="53">
        <f t="shared" si="4"/>
        <v>0</v>
      </c>
      <c r="K6" s="53">
        <f t="shared" si="5"/>
        <v>-4825000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961</v>
      </c>
      <c r="H7" s="36">
        <f t="shared" si="2"/>
        <v>0</v>
      </c>
      <c r="I7" s="11">
        <f t="shared" si="3"/>
        <v>-1153680500</v>
      </c>
      <c r="J7" s="53">
        <f t="shared" si="4"/>
        <v>0</v>
      </c>
      <c r="K7" s="53">
        <f t="shared" si="5"/>
        <v>-1153680500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960</v>
      </c>
      <c r="H8" s="36">
        <f t="shared" si="2"/>
        <v>0</v>
      </c>
      <c r="I8" s="11">
        <f t="shared" si="3"/>
        <v>-192000000</v>
      </c>
      <c r="J8" s="53">
        <f t="shared" si="4"/>
        <v>0</v>
      </c>
      <c r="K8" s="53">
        <f t="shared" si="5"/>
        <v>-192000000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958</v>
      </c>
      <c r="H9" s="36">
        <f t="shared" si="2"/>
        <v>0</v>
      </c>
      <c r="I9" s="11">
        <f t="shared" si="3"/>
        <v>-675869000</v>
      </c>
      <c r="J9" s="53">
        <f t="shared" si="4"/>
        <v>0</v>
      </c>
      <c r="K9" s="53">
        <f t="shared" si="5"/>
        <v>-675869000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949</v>
      </c>
      <c r="H10" s="36">
        <f t="shared" si="2"/>
        <v>0</v>
      </c>
      <c r="I10" s="11">
        <f t="shared" si="3"/>
        <v>-189800000</v>
      </c>
      <c r="J10" s="53">
        <f t="shared" si="4"/>
        <v>0</v>
      </c>
      <c r="K10" s="53">
        <f t="shared" si="5"/>
        <v>-189800000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949</v>
      </c>
      <c r="H11" s="36">
        <f t="shared" si="2"/>
        <v>1</v>
      </c>
      <c r="I11" s="11">
        <f t="shared" si="3"/>
        <v>948000000</v>
      </c>
      <c r="J11" s="53">
        <f t="shared" si="4"/>
        <v>0</v>
      </c>
      <c r="K11" s="53">
        <f t="shared" si="5"/>
        <v>948000000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945</v>
      </c>
      <c r="H12" s="36">
        <f t="shared" si="2"/>
        <v>0</v>
      </c>
      <c r="I12" s="11">
        <f t="shared" si="3"/>
        <v>-283500000</v>
      </c>
      <c r="J12" s="53">
        <f t="shared" si="4"/>
        <v>0</v>
      </c>
      <c r="K12" s="53">
        <f t="shared" si="5"/>
        <v>-283500000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940</v>
      </c>
      <c r="H13" s="36">
        <f t="shared" si="2"/>
        <v>0</v>
      </c>
      <c r="I13" s="11">
        <f t="shared" si="3"/>
        <v>-58280000</v>
      </c>
      <c r="J13" s="53">
        <f t="shared" si="4"/>
        <v>0</v>
      </c>
      <c r="K13" s="53">
        <f t="shared" si="5"/>
        <v>-58280000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940</v>
      </c>
      <c r="H14" s="36">
        <f t="shared" si="2"/>
        <v>1</v>
      </c>
      <c r="I14" s="11">
        <f t="shared" si="3"/>
        <v>1878000000</v>
      </c>
      <c r="J14" s="53">
        <f t="shared" si="4"/>
        <v>0</v>
      </c>
      <c r="K14" s="53">
        <f t="shared" si="5"/>
        <v>1878000000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939</v>
      </c>
      <c r="H15" s="36">
        <f t="shared" si="2"/>
        <v>1</v>
      </c>
      <c r="I15" s="11">
        <f t="shared" si="3"/>
        <v>1688400000</v>
      </c>
      <c r="J15" s="53">
        <f t="shared" si="4"/>
        <v>0</v>
      </c>
      <c r="K15" s="53">
        <f t="shared" si="5"/>
        <v>1688400000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939</v>
      </c>
      <c r="H16" s="36">
        <f t="shared" si="2"/>
        <v>0</v>
      </c>
      <c r="I16" s="11">
        <f t="shared" si="3"/>
        <v>-187800000</v>
      </c>
      <c r="J16" s="53">
        <f t="shared" si="4"/>
        <v>0</v>
      </c>
      <c r="K16" s="53">
        <f t="shared" si="5"/>
        <v>-187800000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935</v>
      </c>
      <c r="H17" s="36">
        <f t="shared" si="2"/>
        <v>0</v>
      </c>
      <c r="I17" s="11">
        <f t="shared" si="3"/>
        <v>-1870000000</v>
      </c>
      <c r="J17" s="53">
        <f t="shared" si="4"/>
        <v>0</v>
      </c>
      <c r="K17" s="53">
        <f t="shared" si="5"/>
        <v>-1870000000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934</v>
      </c>
      <c r="H18" s="36">
        <f t="shared" si="2"/>
        <v>0</v>
      </c>
      <c r="I18" s="11">
        <f t="shared" si="3"/>
        <v>-280200000</v>
      </c>
      <c r="J18" s="53">
        <f t="shared" si="4"/>
        <v>0</v>
      </c>
      <c r="K18" s="53">
        <f t="shared" si="5"/>
        <v>-280200000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933</v>
      </c>
      <c r="H19" s="36">
        <f t="shared" si="2"/>
        <v>0</v>
      </c>
      <c r="I19" s="11">
        <f t="shared" si="3"/>
        <v>-186600000</v>
      </c>
      <c r="J19" s="53">
        <f t="shared" si="4"/>
        <v>0</v>
      </c>
      <c r="K19" s="53">
        <f t="shared" si="5"/>
        <v>-186600000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931</v>
      </c>
      <c r="H20" s="36">
        <f t="shared" si="2"/>
        <v>1</v>
      </c>
      <c r="I20" s="11">
        <f t="shared" si="3"/>
        <v>252112770</v>
      </c>
      <c r="J20" s="53">
        <f t="shared" si="4"/>
        <v>137130360</v>
      </c>
      <c r="K20" s="53">
        <f t="shared" si="5"/>
        <v>114982410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929</v>
      </c>
      <c r="H21" s="36">
        <f t="shared" si="2"/>
        <v>0</v>
      </c>
      <c r="I21" s="11">
        <f t="shared" si="3"/>
        <v>-1398795300</v>
      </c>
      <c r="J21" s="53">
        <f t="shared" si="4"/>
        <v>0</v>
      </c>
      <c r="K21" s="53">
        <f t="shared" si="5"/>
        <v>-1398795300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926</v>
      </c>
      <c r="H22" s="36">
        <f t="shared" si="2"/>
        <v>1</v>
      </c>
      <c r="I22" s="11">
        <f t="shared" si="3"/>
        <v>2775000000</v>
      </c>
      <c r="J22" s="53">
        <f t="shared" si="4"/>
        <v>0</v>
      </c>
      <c r="K22" s="53">
        <f t="shared" si="5"/>
        <v>2775000000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925</v>
      </c>
      <c r="H23" s="36">
        <f t="shared" si="2"/>
        <v>1</v>
      </c>
      <c r="I23" s="11">
        <f t="shared" si="3"/>
        <v>924000000</v>
      </c>
      <c r="J23" s="53">
        <f t="shared" si="4"/>
        <v>0</v>
      </c>
      <c r="K23" s="53">
        <f t="shared" si="5"/>
        <v>924000000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924</v>
      </c>
      <c r="H24" s="36">
        <f t="shared" si="2"/>
        <v>0</v>
      </c>
      <c r="I24" s="11">
        <f t="shared" si="3"/>
        <v>-2772831600</v>
      </c>
      <c r="J24" s="53">
        <f t="shared" si="4"/>
        <v>0</v>
      </c>
      <c r="K24" s="53">
        <f t="shared" si="5"/>
        <v>-2772831600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909</v>
      </c>
      <c r="H25" s="36">
        <f t="shared" si="2"/>
        <v>1</v>
      </c>
      <c r="I25" s="11">
        <f t="shared" si="3"/>
        <v>1362000000</v>
      </c>
      <c r="J25" s="53">
        <f t="shared" si="4"/>
        <v>0</v>
      </c>
      <c r="K25" s="53">
        <f t="shared" si="5"/>
        <v>1362000000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901</v>
      </c>
      <c r="H26" s="36">
        <f t="shared" si="2"/>
        <v>0</v>
      </c>
      <c r="I26" s="11">
        <f t="shared" si="3"/>
        <v>-147764000</v>
      </c>
      <c r="J26" s="53">
        <f t="shared" si="4"/>
        <v>0</v>
      </c>
      <c r="K26" s="53">
        <f t="shared" si="5"/>
        <v>-147764000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900</v>
      </c>
      <c r="H27" s="36">
        <f t="shared" si="2"/>
        <v>1</v>
      </c>
      <c r="I27" s="11">
        <f t="shared" si="3"/>
        <v>179254307</v>
      </c>
      <c r="J27" s="53">
        <f t="shared" si="4"/>
        <v>96564287</v>
      </c>
      <c r="K27" s="53">
        <f t="shared" si="5"/>
        <v>82690020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898</v>
      </c>
      <c r="H28" s="36">
        <f t="shared" si="2"/>
        <v>0</v>
      </c>
      <c r="I28" s="11">
        <f t="shared" si="3"/>
        <v>-198458000</v>
      </c>
      <c r="J28" s="53">
        <f t="shared" si="4"/>
        <v>-198458000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898</v>
      </c>
      <c r="H29" s="36">
        <f t="shared" si="2"/>
        <v>0</v>
      </c>
      <c r="I29" s="11">
        <f t="shared" si="3"/>
        <v>-449449000</v>
      </c>
      <c r="J29" s="53">
        <f t="shared" si="4"/>
        <v>0</v>
      </c>
      <c r="K29" s="53">
        <f t="shared" si="5"/>
        <v>-449449000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898</v>
      </c>
      <c r="H30" s="36">
        <f t="shared" si="2"/>
        <v>0</v>
      </c>
      <c r="I30" s="11">
        <f t="shared" si="3"/>
        <v>-13470000000</v>
      </c>
      <c r="J30" s="53">
        <f t="shared" si="4"/>
        <v>-13470000000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881</v>
      </c>
      <c r="H31" s="36">
        <f t="shared" si="2"/>
        <v>0</v>
      </c>
      <c r="I31" s="11">
        <f t="shared" si="3"/>
        <v>-2652602900</v>
      </c>
      <c r="J31" s="53">
        <f t="shared" si="4"/>
        <v>0</v>
      </c>
      <c r="K31" s="53">
        <f t="shared" si="5"/>
        <v>-2652602900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879</v>
      </c>
      <c r="H32" s="36">
        <f t="shared" si="2"/>
        <v>0</v>
      </c>
      <c r="I32" s="11">
        <f t="shared" si="3"/>
        <v>-2642186100</v>
      </c>
      <c r="J32" s="53">
        <f t="shared" si="4"/>
        <v>0</v>
      </c>
      <c r="K32" s="53">
        <f t="shared" si="5"/>
        <v>-2642186100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878</v>
      </c>
      <c r="H33" s="36">
        <f t="shared" si="2"/>
        <v>0</v>
      </c>
      <c r="I33" s="11">
        <f t="shared" si="3"/>
        <v>-786249000</v>
      </c>
      <c r="J33" s="53">
        <f t="shared" si="4"/>
        <v>0</v>
      </c>
      <c r="K33" s="53">
        <f t="shared" si="5"/>
        <v>-786249000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878</v>
      </c>
      <c r="H34" s="36">
        <f t="shared" si="2"/>
        <v>0</v>
      </c>
      <c r="I34" s="11">
        <f t="shared" si="3"/>
        <v>0</v>
      </c>
      <c r="J34" s="53">
        <f t="shared" si="4"/>
        <v>878000000</v>
      </c>
      <c r="K34" s="53">
        <f t="shared" si="5"/>
        <v>-878000000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869</v>
      </c>
      <c r="H35" s="36">
        <f t="shared" si="2"/>
        <v>1</v>
      </c>
      <c r="I35" s="11">
        <f t="shared" si="3"/>
        <v>45545696</v>
      </c>
      <c r="J35" s="53">
        <f t="shared" si="4"/>
        <v>-18803484</v>
      </c>
      <c r="K35" s="53">
        <f t="shared" si="5"/>
        <v>64349180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869</v>
      </c>
      <c r="H36" s="36">
        <f t="shared" si="2"/>
        <v>0</v>
      </c>
      <c r="I36" s="11">
        <f t="shared" si="3"/>
        <v>0</v>
      </c>
      <c r="J36" s="53">
        <f t="shared" si="4"/>
        <v>18825147</v>
      </c>
      <c r="K36" s="53">
        <f t="shared" si="5"/>
        <v>-18825147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859</v>
      </c>
      <c r="H37" s="36">
        <f t="shared" si="2"/>
        <v>0</v>
      </c>
      <c r="I37" s="11">
        <f t="shared" si="3"/>
        <v>-47245000</v>
      </c>
      <c r="J37" s="53">
        <f t="shared" si="4"/>
        <v>0</v>
      </c>
      <c r="K37" s="53">
        <f t="shared" si="5"/>
        <v>-47245000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858</v>
      </c>
      <c r="H38" s="36">
        <f t="shared" si="2"/>
        <v>1</v>
      </c>
      <c r="I38" s="11">
        <f t="shared" si="3"/>
        <v>2571000000</v>
      </c>
      <c r="J38" s="53">
        <f t="shared" si="4"/>
        <v>2571000000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857</v>
      </c>
      <c r="H39" s="36">
        <f t="shared" si="2"/>
        <v>1</v>
      </c>
      <c r="I39" s="11">
        <f t="shared" si="3"/>
        <v>2140000000</v>
      </c>
      <c r="J39" s="53">
        <f t="shared" si="4"/>
        <v>2140000000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857</v>
      </c>
      <c r="H40" s="36">
        <f t="shared" si="2"/>
        <v>0</v>
      </c>
      <c r="I40" s="11">
        <f t="shared" si="3"/>
        <v>-42850000</v>
      </c>
      <c r="J40" s="53">
        <f t="shared" si="4"/>
        <v>0</v>
      </c>
      <c r="K40" s="53">
        <f t="shared" si="5"/>
        <v>-42850000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857</v>
      </c>
      <c r="H41" s="36">
        <f t="shared" si="2"/>
        <v>1</v>
      </c>
      <c r="I41" s="11">
        <f t="shared" si="3"/>
        <v>2568000000</v>
      </c>
      <c r="J41" s="53">
        <f t="shared" si="4"/>
        <v>0</v>
      </c>
      <c r="K41" s="53">
        <f t="shared" si="5"/>
        <v>2568000000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854</v>
      </c>
      <c r="H42" s="36">
        <f t="shared" si="2"/>
        <v>0</v>
      </c>
      <c r="I42" s="11">
        <f t="shared" si="3"/>
        <v>-76176800</v>
      </c>
      <c r="J42" s="53">
        <f t="shared" si="4"/>
        <v>0</v>
      </c>
      <c r="K42" s="53">
        <f t="shared" si="5"/>
        <v>-76176800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850</v>
      </c>
      <c r="H43" s="36">
        <f t="shared" si="2"/>
        <v>0</v>
      </c>
      <c r="I43" s="11">
        <f t="shared" si="3"/>
        <v>-170000000</v>
      </c>
      <c r="J43" s="53">
        <f t="shared" si="4"/>
        <v>0</v>
      </c>
      <c r="K43" s="53">
        <f t="shared" si="5"/>
        <v>-170000000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848</v>
      </c>
      <c r="H44" s="36">
        <f t="shared" si="2"/>
        <v>0</v>
      </c>
      <c r="I44" s="11">
        <f t="shared" si="3"/>
        <v>-169600000</v>
      </c>
      <c r="J44" s="53">
        <f t="shared" si="4"/>
        <v>0</v>
      </c>
      <c r="K44" s="53">
        <f t="shared" si="5"/>
        <v>-169600000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848</v>
      </c>
      <c r="H45" s="36">
        <f t="shared" si="2"/>
        <v>0</v>
      </c>
      <c r="I45" s="11">
        <f t="shared" si="3"/>
        <v>-474880000</v>
      </c>
      <c r="J45" s="53">
        <f t="shared" si="4"/>
        <v>0</v>
      </c>
      <c r="K45" s="53">
        <f t="shared" si="5"/>
        <v>-474880000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844</v>
      </c>
      <c r="H46" s="36">
        <f t="shared" si="2"/>
        <v>0</v>
      </c>
      <c r="I46" s="11">
        <f t="shared" si="3"/>
        <v>-595442000</v>
      </c>
      <c r="J46" s="53">
        <f t="shared" si="4"/>
        <v>0</v>
      </c>
      <c r="K46" s="53">
        <f t="shared" si="5"/>
        <v>-595442000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838</v>
      </c>
      <c r="H47" s="36">
        <f t="shared" si="2"/>
        <v>1</v>
      </c>
      <c r="I47" s="11">
        <f t="shared" si="3"/>
        <v>34487748</v>
      </c>
      <c r="J47" s="53">
        <f t="shared" si="4"/>
        <v>5618781</v>
      </c>
      <c r="K47" s="53">
        <f t="shared" si="5"/>
        <v>28868967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838</v>
      </c>
      <c r="H48" s="36">
        <f t="shared" si="2"/>
        <v>1</v>
      </c>
      <c r="I48" s="11">
        <f t="shared" si="3"/>
        <v>1426833900</v>
      </c>
      <c r="J48" s="53">
        <f t="shared" si="4"/>
        <v>0</v>
      </c>
      <c r="K48" s="53">
        <f t="shared" si="5"/>
        <v>1426833900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829</v>
      </c>
      <c r="H49" s="36">
        <f t="shared" si="2"/>
        <v>0</v>
      </c>
      <c r="I49" s="11">
        <f t="shared" si="3"/>
        <v>-128495000</v>
      </c>
      <c r="J49" s="53">
        <f t="shared" si="4"/>
        <v>0</v>
      </c>
      <c r="K49" s="53">
        <f t="shared" si="5"/>
        <v>-128495000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829</v>
      </c>
      <c r="H50" s="36">
        <f t="shared" si="2"/>
        <v>0</v>
      </c>
      <c r="I50" s="11">
        <f t="shared" si="3"/>
        <v>-114402000</v>
      </c>
      <c r="J50" s="53">
        <f t="shared" si="4"/>
        <v>0</v>
      </c>
      <c r="K50" s="53">
        <f t="shared" si="5"/>
        <v>-114402000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829</v>
      </c>
      <c r="H51" s="36">
        <f t="shared" si="2"/>
        <v>0</v>
      </c>
      <c r="I51" s="11">
        <f t="shared" si="3"/>
        <v>-613460000</v>
      </c>
      <c r="J51" s="53">
        <f t="shared" si="4"/>
        <v>0</v>
      </c>
      <c r="K51" s="53">
        <f t="shared" si="5"/>
        <v>-613460000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829</v>
      </c>
      <c r="H52" s="36">
        <f t="shared" si="2"/>
        <v>0</v>
      </c>
      <c r="I52" s="11">
        <f t="shared" si="3"/>
        <v>-165800000</v>
      </c>
      <c r="J52" s="53">
        <f t="shared" si="4"/>
        <v>0</v>
      </c>
      <c r="K52" s="53">
        <f t="shared" si="5"/>
        <v>-165800000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828</v>
      </c>
      <c r="H53" s="36">
        <f t="shared" si="2"/>
        <v>0</v>
      </c>
      <c r="I53" s="11">
        <f t="shared" si="3"/>
        <v>-873540000</v>
      </c>
      <c r="J53" s="53">
        <f t="shared" si="4"/>
        <v>0</v>
      </c>
      <c r="K53" s="53">
        <f t="shared" si="5"/>
        <v>-873540000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828</v>
      </c>
      <c r="H54" s="36">
        <f t="shared" si="2"/>
        <v>0</v>
      </c>
      <c r="I54" s="11">
        <f t="shared" si="3"/>
        <v>-165600000</v>
      </c>
      <c r="J54" s="53">
        <f t="shared" si="4"/>
        <v>0</v>
      </c>
      <c r="K54" s="53">
        <f t="shared" si="5"/>
        <v>-165600000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828</v>
      </c>
      <c r="H55" s="36">
        <f t="shared" si="2"/>
        <v>0</v>
      </c>
      <c r="I55" s="11">
        <f t="shared" si="3"/>
        <v>-828414000</v>
      </c>
      <c r="J55" s="53">
        <f t="shared" si="4"/>
        <v>0</v>
      </c>
      <c r="K55" s="53">
        <f t="shared" si="5"/>
        <v>-828414000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828</v>
      </c>
      <c r="H56" s="36">
        <f t="shared" si="2"/>
        <v>0</v>
      </c>
      <c r="I56" s="11">
        <f t="shared" si="3"/>
        <v>-31464000</v>
      </c>
      <c r="J56" s="53">
        <f t="shared" si="4"/>
        <v>0</v>
      </c>
      <c r="K56" s="53">
        <f t="shared" si="5"/>
        <v>-31464000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828</v>
      </c>
      <c r="H57" s="36">
        <f t="shared" si="2"/>
        <v>0</v>
      </c>
      <c r="I57" s="11">
        <f t="shared" si="3"/>
        <v>-86940000</v>
      </c>
      <c r="J57" s="53">
        <f t="shared" si="4"/>
        <v>0</v>
      </c>
      <c r="K57" s="53">
        <f t="shared" si="5"/>
        <v>-86940000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828</v>
      </c>
      <c r="H58" s="36">
        <f t="shared" si="2"/>
        <v>0</v>
      </c>
      <c r="I58" s="11">
        <f t="shared" si="3"/>
        <v>-49680000</v>
      </c>
      <c r="J58" s="53">
        <f t="shared" si="4"/>
        <v>0</v>
      </c>
      <c r="K58" s="53">
        <f t="shared" si="5"/>
        <v>-49680000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825</v>
      </c>
      <c r="H59" s="36">
        <f t="shared" si="2"/>
        <v>1</v>
      </c>
      <c r="I59" s="11">
        <f t="shared" si="3"/>
        <v>824000000</v>
      </c>
      <c r="J59" s="53">
        <f t="shared" si="4"/>
        <v>824000000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824</v>
      </c>
      <c r="H60" s="36">
        <f t="shared" si="2"/>
        <v>1</v>
      </c>
      <c r="I60" s="11">
        <f t="shared" si="3"/>
        <v>2880500000</v>
      </c>
      <c r="J60" s="53">
        <f t="shared" si="4"/>
        <v>2880500000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822</v>
      </c>
      <c r="H61" s="36">
        <f t="shared" si="2"/>
        <v>1</v>
      </c>
      <c r="I61" s="11">
        <f t="shared" si="3"/>
        <v>821000000</v>
      </c>
      <c r="J61" s="53">
        <f t="shared" si="4"/>
        <v>821000000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822</v>
      </c>
      <c r="H62" s="36">
        <f t="shared" si="2"/>
        <v>1</v>
      </c>
      <c r="I62" s="11">
        <f t="shared" si="3"/>
        <v>2463000000</v>
      </c>
      <c r="J62" s="53">
        <f t="shared" si="4"/>
        <v>2463000000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820</v>
      </c>
      <c r="H63" s="36">
        <f t="shared" si="2"/>
        <v>0</v>
      </c>
      <c r="I63" s="11">
        <f t="shared" si="3"/>
        <v>-164000000</v>
      </c>
      <c r="J63" s="53">
        <f t="shared" si="4"/>
        <v>0</v>
      </c>
      <c r="K63" s="53">
        <f t="shared" si="5"/>
        <v>-164000000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815</v>
      </c>
      <c r="H64" s="36">
        <f t="shared" si="2"/>
        <v>0</v>
      </c>
      <c r="I64" s="11">
        <f t="shared" si="3"/>
        <v>-40750000</v>
      </c>
      <c r="J64" s="53">
        <f t="shared" si="4"/>
        <v>0</v>
      </c>
      <c r="K64" s="53">
        <f t="shared" si="5"/>
        <v>-40750000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811</v>
      </c>
      <c r="H65" s="36">
        <f t="shared" si="2"/>
        <v>0</v>
      </c>
      <c r="I65" s="11">
        <f t="shared" si="3"/>
        <v>-162200000</v>
      </c>
      <c r="J65" s="53">
        <f t="shared" si="4"/>
        <v>0</v>
      </c>
      <c r="K65" s="53">
        <f t="shared" si="5"/>
        <v>-162200000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808</v>
      </c>
      <c r="H66" s="36">
        <f t="shared" si="2"/>
        <v>0</v>
      </c>
      <c r="I66" s="11">
        <f t="shared" si="3"/>
        <v>-137360000</v>
      </c>
      <c r="J66" s="53">
        <f t="shared" si="4"/>
        <v>0</v>
      </c>
      <c r="K66" s="53">
        <f t="shared" si="5"/>
        <v>-137360000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807</v>
      </c>
      <c r="H67" s="36">
        <f t="shared" ref="H67:H131" si="8">IF(B67&gt;0,1,0)</f>
        <v>1</v>
      </c>
      <c r="I67" s="11">
        <f t="shared" ref="I67:I119" si="9">B67*(G67-H67)</f>
        <v>73607950</v>
      </c>
      <c r="J67" s="53">
        <f t="shared" ref="J67:J131" si="10">C67*(G67-H67)</f>
        <v>52972738</v>
      </c>
      <c r="K67" s="53">
        <f t="shared" ref="K67:K131" si="11">D67*(G67-H67)</f>
        <v>20635212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789</v>
      </c>
      <c r="H68" s="36">
        <f t="shared" si="8"/>
        <v>0</v>
      </c>
      <c r="I68" s="11">
        <f t="shared" si="9"/>
        <v>-114405000</v>
      </c>
      <c r="J68" s="53">
        <f t="shared" si="10"/>
        <v>0</v>
      </c>
      <c r="K68" s="53">
        <f t="shared" si="11"/>
        <v>-114405000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782</v>
      </c>
      <c r="H69" s="36">
        <f t="shared" si="8"/>
        <v>1</v>
      </c>
      <c r="I69" s="11">
        <f t="shared" si="9"/>
        <v>765380000</v>
      </c>
      <c r="J69" s="53">
        <f t="shared" si="10"/>
        <v>0</v>
      </c>
      <c r="K69" s="53">
        <f t="shared" si="11"/>
        <v>765380000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779</v>
      </c>
      <c r="H70" s="36">
        <f t="shared" si="8"/>
        <v>0</v>
      </c>
      <c r="I70" s="11">
        <f t="shared" si="9"/>
        <v>-35834000</v>
      </c>
      <c r="J70" s="53">
        <f t="shared" si="10"/>
        <v>0</v>
      </c>
      <c r="K70" s="53">
        <f t="shared" si="11"/>
        <v>-35834000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777</v>
      </c>
      <c r="H71" s="36">
        <f t="shared" si="8"/>
        <v>1</v>
      </c>
      <c r="I71" s="11">
        <f t="shared" si="9"/>
        <v>89502288</v>
      </c>
      <c r="J71" s="53">
        <f t="shared" si="10"/>
        <v>80558112</v>
      </c>
      <c r="K71" s="53">
        <f t="shared" si="11"/>
        <v>8944176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776</v>
      </c>
      <c r="H72" s="36">
        <f t="shared" si="8"/>
        <v>0</v>
      </c>
      <c r="I72" s="11">
        <f t="shared" si="9"/>
        <v>-117927944</v>
      </c>
      <c r="J72" s="53">
        <f t="shared" si="10"/>
        <v>0</v>
      </c>
      <c r="K72" s="53">
        <f t="shared" si="11"/>
        <v>-117927944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775</v>
      </c>
      <c r="H73" s="36">
        <f t="shared" si="8"/>
        <v>0</v>
      </c>
      <c r="I73" s="11">
        <f t="shared" si="9"/>
        <v>-624262500</v>
      </c>
      <c r="J73" s="53">
        <f t="shared" si="10"/>
        <v>0</v>
      </c>
      <c r="K73" s="53">
        <f t="shared" si="11"/>
        <v>-624262500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768</v>
      </c>
      <c r="H74" s="36">
        <f t="shared" si="8"/>
        <v>1</v>
      </c>
      <c r="I74" s="11">
        <f t="shared" si="9"/>
        <v>5365165000</v>
      </c>
      <c r="J74" s="53">
        <f t="shared" si="10"/>
        <v>0</v>
      </c>
      <c r="K74" s="53">
        <f t="shared" si="11"/>
        <v>5365165000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767</v>
      </c>
      <c r="H75" s="36">
        <f t="shared" si="8"/>
        <v>1</v>
      </c>
      <c r="I75" s="11">
        <f t="shared" si="9"/>
        <v>2298000000</v>
      </c>
      <c r="J75" s="53">
        <f t="shared" si="10"/>
        <v>0</v>
      </c>
      <c r="K75" s="53">
        <f t="shared" si="11"/>
        <v>2298000000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765</v>
      </c>
      <c r="H76" s="36">
        <f t="shared" si="8"/>
        <v>1</v>
      </c>
      <c r="I76" s="11">
        <f t="shared" si="9"/>
        <v>2292000000</v>
      </c>
      <c r="J76" s="53">
        <f t="shared" si="10"/>
        <v>0</v>
      </c>
      <c r="K76" s="53">
        <f t="shared" si="11"/>
        <v>2292000000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764</v>
      </c>
      <c r="H77" s="36">
        <f t="shared" si="8"/>
        <v>1</v>
      </c>
      <c r="I77" s="11">
        <f t="shared" si="9"/>
        <v>2289000000</v>
      </c>
      <c r="J77" s="53">
        <f t="shared" si="10"/>
        <v>0</v>
      </c>
      <c r="K77" s="53">
        <f t="shared" si="11"/>
        <v>2289000000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763</v>
      </c>
      <c r="H78" s="36">
        <f t="shared" si="8"/>
        <v>0</v>
      </c>
      <c r="I78" s="11">
        <f t="shared" si="9"/>
        <v>-2441600000</v>
      </c>
      <c r="J78" s="53">
        <f t="shared" si="10"/>
        <v>-2441600000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762</v>
      </c>
      <c r="H79" s="36">
        <f t="shared" si="8"/>
        <v>0</v>
      </c>
      <c r="I79" s="11">
        <f t="shared" si="9"/>
        <v>-609600000</v>
      </c>
      <c r="J79" s="53">
        <f t="shared" si="10"/>
        <v>-609600000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761</v>
      </c>
      <c r="H80" s="36">
        <f t="shared" si="8"/>
        <v>0</v>
      </c>
      <c r="I80" s="11">
        <f t="shared" si="9"/>
        <v>-36827073</v>
      </c>
      <c r="J80" s="53">
        <f t="shared" si="10"/>
        <v>0</v>
      </c>
      <c r="K80" s="53">
        <f t="shared" si="11"/>
        <v>-36827073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760</v>
      </c>
      <c r="H81" s="36">
        <f t="shared" si="8"/>
        <v>0</v>
      </c>
      <c r="I81" s="11">
        <f t="shared" si="9"/>
        <v>-106400000</v>
      </c>
      <c r="J81" s="53">
        <f t="shared" si="10"/>
        <v>0</v>
      </c>
      <c r="K81" s="53">
        <f t="shared" si="11"/>
        <v>-106400000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759</v>
      </c>
      <c r="H82" s="36">
        <f t="shared" si="8"/>
        <v>0</v>
      </c>
      <c r="I82" s="11">
        <f t="shared" si="9"/>
        <v>-189750000</v>
      </c>
      <c r="J82" s="53">
        <f t="shared" si="10"/>
        <v>0</v>
      </c>
      <c r="K82" s="53">
        <f t="shared" si="11"/>
        <v>-189750000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758</v>
      </c>
      <c r="H83" s="36">
        <f t="shared" si="8"/>
        <v>0</v>
      </c>
      <c r="I83" s="11">
        <f t="shared" si="9"/>
        <v>-151600000</v>
      </c>
      <c r="J83" s="53">
        <f t="shared" si="10"/>
        <v>0</v>
      </c>
      <c r="K83" s="53">
        <f t="shared" si="11"/>
        <v>-151600000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755</v>
      </c>
      <c r="H84" s="36">
        <f t="shared" si="8"/>
        <v>1</v>
      </c>
      <c r="I84" s="11">
        <f t="shared" si="9"/>
        <v>1232940800</v>
      </c>
      <c r="J84" s="53">
        <f t="shared" si="10"/>
        <v>0</v>
      </c>
      <c r="K84" s="53">
        <f t="shared" si="11"/>
        <v>1232940800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751</v>
      </c>
      <c r="H85" s="36">
        <f t="shared" si="8"/>
        <v>1</v>
      </c>
      <c r="I85" s="11">
        <f t="shared" si="9"/>
        <v>1875000000</v>
      </c>
      <c r="J85" s="53">
        <f t="shared" si="10"/>
        <v>0</v>
      </c>
      <c r="K85" s="53">
        <f t="shared" si="11"/>
        <v>1875000000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747</v>
      </c>
      <c r="H86" s="36">
        <f t="shared" si="8"/>
        <v>1</v>
      </c>
      <c r="I86" s="11">
        <f t="shared" si="9"/>
        <v>138979800</v>
      </c>
      <c r="J86" s="53">
        <f t="shared" si="10"/>
        <v>63372700</v>
      </c>
      <c r="K86" s="53">
        <f t="shared" si="11"/>
        <v>75607100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744</v>
      </c>
      <c r="H87" s="36">
        <f t="shared" si="8"/>
        <v>0</v>
      </c>
      <c r="I87" s="11">
        <f t="shared" si="9"/>
        <v>-148800000</v>
      </c>
      <c r="J87" s="53">
        <f t="shared" si="10"/>
        <v>0</v>
      </c>
      <c r="K87" s="53">
        <f t="shared" si="11"/>
        <v>-148800000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743</v>
      </c>
      <c r="H88" s="36">
        <f t="shared" si="8"/>
        <v>0</v>
      </c>
      <c r="I88" s="11">
        <f t="shared" si="9"/>
        <v>-87674000</v>
      </c>
      <c r="J88" s="53">
        <f t="shared" si="10"/>
        <v>-51267000</v>
      </c>
      <c r="K88" s="53">
        <f t="shared" si="11"/>
        <v>-36407000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735</v>
      </c>
      <c r="H89" s="36">
        <f t="shared" si="8"/>
        <v>0</v>
      </c>
      <c r="I89" s="11">
        <f t="shared" si="9"/>
        <v>-2352661500</v>
      </c>
      <c r="J89" s="53">
        <f t="shared" si="10"/>
        <v>0</v>
      </c>
      <c r="K89" s="53">
        <f t="shared" si="11"/>
        <v>-2352661500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734</v>
      </c>
      <c r="H90" s="36">
        <f t="shared" si="8"/>
        <v>0</v>
      </c>
      <c r="I90" s="11">
        <f t="shared" si="9"/>
        <v>-2349460600</v>
      </c>
      <c r="J90" s="53">
        <f t="shared" si="10"/>
        <v>0</v>
      </c>
      <c r="K90" s="53">
        <f t="shared" si="11"/>
        <v>-2349460600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733</v>
      </c>
      <c r="H91" s="36">
        <f t="shared" si="8"/>
        <v>0</v>
      </c>
      <c r="I91" s="11">
        <f t="shared" si="9"/>
        <v>-2346259700</v>
      </c>
      <c r="J91" s="53">
        <f t="shared" si="10"/>
        <v>0</v>
      </c>
      <c r="K91" s="53">
        <f t="shared" si="11"/>
        <v>-2346259700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732</v>
      </c>
      <c r="H92" s="36">
        <f t="shared" si="8"/>
        <v>0</v>
      </c>
      <c r="I92" s="11">
        <f t="shared" si="9"/>
        <v>-2343058800</v>
      </c>
      <c r="J92" s="53">
        <f t="shared" si="10"/>
        <v>0</v>
      </c>
      <c r="K92" s="53">
        <f t="shared" si="11"/>
        <v>-2343058800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731</v>
      </c>
      <c r="H93" s="36">
        <f t="shared" si="8"/>
        <v>0</v>
      </c>
      <c r="I93" s="11">
        <f t="shared" si="9"/>
        <v>-2339857900</v>
      </c>
      <c r="J93" s="53">
        <f t="shared" si="10"/>
        <v>0</v>
      </c>
      <c r="K93" s="53">
        <f t="shared" si="11"/>
        <v>-2339857900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730</v>
      </c>
      <c r="H94" s="36">
        <f t="shared" si="8"/>
        <v>0</v>
      </c>
      <c r="I94" s="11">
        <f t="shared" si="9"/>
        <v>-2336657000</v>
      </c>
      <c r="J94" s="53">
        <f t="shared" si="10"/>
        <v>0</v>
      </c>
      <c r="K94" s="53">
        <f t="shared" si="11"/>
        <v>-2336657000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728</v>
      </c>
      <c r="H95" s="36">
        <f t="shared" si="8"/>
        <v>0</v>
      </c>
      <c r="I95" s="11">
        <f t="shared" si="9"/>
        <v>-871121888</v>
      </c>
      <c r="J95" s="53">
        <f t="shared" si="10"/>
        <v>0</v>
      </c>
      <c r="K95" s="53">
        <f t="shared" si="11"/>
        <v>-871121888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718</v>
      </c>
      <c r="H96" s="36">
        <f t="shared" si="8"/>
        <v>0</v>
      </c>
      <c r="I96" s="11">
        <f t="shared" si="9"/>
        <v>-143600000</v>
      </c>
      <c r="J96" s="53">
        <f t="shared" si="10"/>
        <v>0</v>
      </c>
      <c r="K96" s="53">
        <f t="shared" si="11"/>
        <v>-143600000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717</v>
      </c>
      <c r="H97" s="36">
        <f t="shared" si="8"/>
        <v>1</v>
      </c>
      <c r="I97" s="11">
        <f t="shared" si="9"/>
        <v>114243528</v>
      </c>
      <c r="J97" s="53">
        <f t="shared" si="10"/>
        <v>49351016</v>
      </c>
      <c r="K97" s="53">
        <f t="shared" si="11"/>
        <v>64892512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712</v>
      </c>
      <c r="H98" s="36">
        <f t="shared" si="8"/>
        <v>1</v>
      </c>
      <c r="I98" s="11">
        <f t="shared" si="9"/>
        <v>81315648</v>
      </c>
      <c r="J98" s="53">
        <f t="shared" si="10"/>
        <v>0</v>
      </c>
      <c r="K98" s="53">
        <f t="shared" si="11"/>
        <v>81315648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709</v>
      </c>
      <c r="H99" s="36">
        <f t="shared" si="8"/>
        <v>0</v>
      </c>
      <c r="I99" s="11">
        <f t="shared" si="9"/>
        <v>-939425000</v>
      </c>
      <c r="J99" s="53">
        <f t="shared" si="10"/>
        <v>0</v>
      </c>
      <c r="K99" s="53">
        <f t="shared" si="11"/>
        <v>-939425000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704</v>
      </c>
      <c r="H100" s="36">
        <f t="shared" si="8"/>
        <v>1</v>
      </c>
      <c r="I100" s="11">
        <f t="shared" si="9"/>
        <v>931475000</v>
      </c>
      <c r="J100" s="53">
        <f t="shared" si="10"/>
        <v>0</v>
      </c>
      <c r="K100" s="53">
        <f t="shared" si="11"/>
        <v>931475000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687</v>
      </c>
      <c r="H101" s="36">
        <f t="shared" si="8"/>
        <v>1</v>
      </c>
      <c r="I101" s="11">
        <f t="shared" si="9"/>
        <v>45855670</v>
      </c>
      <c r="J101" s="53">
        <f t="shared" si="10"/>
        <v>45855670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684</v>
      </c>
      <c r="H102" s="36">
        <f t="shared" si="8"/>
        <v>1</v>
      </c>
      <c r="I102" s="11">
        <f t="shared" si="9"/>
        <v>2049000000</v>
      </c>
      <c r="J102" s="53">
        <f t="shared" si="10"/>
        <v>0</v>
      </c>
      <c r="K102" s="53">
        <f t="shared" si="11"/>
        <v>2049000000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677</v>
      </c>
      <c r="H103" s="36">
        <f t="shared" si="8"/>
        <v>0</v>
      </c>
      <c r="I103" s="11">
        <f t="shared" si="9"/>
        <v>-677000000</v>
      </c>
      <c r="J103" s="53">
        <f t="shared" si="10"/>
        <v>-677000000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667</v>
      </c>
      <c r="H104" s="36">
        <f t="shared" si="8"/>
        <v>1</v>
      </c>
      <c r="I104" s="11">
        <f t="shared" si="9"/>
        <v>1998000000</v>
      </c>
      <c r="J104" s="53">
        <f t="shared" si="10"/>
        <v>1998000000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666</v>
      </c>
      <c r="H105" s="36">
        <f t="shared" si="8"/>
        <v>1</v>
      </c>
      <c r="I105" s="11">
        <f t="shared" si="9"/>
        <v>744800000</v>
      </c>
      <c r="J105" s="53">
        <f t="shared" si="10"/>
        <v>744800000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666</v>
      </c>
      <c r="H106" s="36">
        <f t="shared" si="8"/>
        <v>0</v>
      </c>
      <c r="I106" s="11">
        <f t="shared" si="9"/>
        <v>-1998000000</v>
      </c>
      <c r="J106" s="53">
        <f t="shared" si="10"/>
        <v>0</v>
      </c>
      <c r="K106" s="53">
        <f t="shared" si="11"/>
        <v>-1998000000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657</v>
      </c>
      <c r="H107" s="36">
        <f t="shared" si="8"/>
        <v>1</v>
      </c>
      <c r="I107" s="11">
        <f t="shared" si="9"/>
        <v>59364064</v>
      </c>
      <c r="J107" s="53">
        <f t="shared" si="10"/>
        <v>49275440</v>
      </c>
      <c r="K107" s="53">
        <f t="shared" si="11"/>
        <v>10088624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655</v>
      </c>
      <c r="H108" s="36">
        <f t="shared" si="8"/>
        <v>0</v>
      </c>
      <c r="I108" s="11">
        <f t="shared" si="9"/>
        <v>-1113958500</v>
      </c>
      <c r="J108" s="53">
        <f t="shared" si="10"/>
        <v>0</v>
      </c>
      <c r="K108" s="53">
        <f t="shared" si="11"/>
        <v>-1113958500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651</v>
      </c>
      <c r="H109" s="36">
        <f t="shared" si="8"/>
        <v>0</v>
      </c>
      <c r="I109" s="11">
        <f t="shared" si="9"/>
        <v>-651325500</v>
      </c>
      <c r="J109" s="53">
        <f t="shared" si="10"/>
        <v>0</v>
      </c>
      <c r="K109" s="53">
        <f t="shared" si="11"/>
        <v>-651325500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648</v>
      </c>
      <c r="H110" s="36">
        <f t="shared" si="8"/>
        <v>1</v>
      </c>
      <c r="I110" s="11">
        <f t="shared" si="9"/>
        <v>12940000000</v>
      </c>
      <c r="J110" s="53">
        <f t="shared" si="10"/>
        <v>0</v>
      </c>
      <c r="K110" s="53">
        <f t="shared" si="11"/>
        <v>12940000000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628</v>
      </c>
      <c r="H111" s="36">
        <f t="shared" si="8"/>
        <v>1</v>
      </c>
      <c r="I111" s="11">
        <f t="shared" si="9"/>
        <v>109523106</v>
      </c>
      <c r="J111" s="53">
        <f t="shared" si="10"/>
        <v>54776601</v>
      </c>
      <c r="K111" s="53">
        <f t="shared" si="11"/>
        <v>54746505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612</v>
      </c>
      <c r="H112" s="36">
        <f t="shared" si="8"/>
        <v>0</v>
      </c>
      <c r="I112" s="11">
        <f t="shared" si="9"/>
        <v>-17380800000</v>
      </c>
      <c r="J112" s="53">
        <f t="shared" si="10"/>
        <v>0</v>
      </c>
      <c r="K112" s="53">
        <f t="shared" si="11"/>
        <v>-17380800000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597</v>
      </c>
      <c r="H113" s="36">
        <f t="shared" si="8"/>
        <v>1</v>
      </c>
      <c r="I113" s="11">
        <f t="shared" si="9"/>
        <v>97171840</v>
      </c>
      <c r="J113" s="53">
        <f t="shared" si="10"/>
        <v>73016556</v>
      </c>
      <c r="K113" s="53">
        <f t="shared" si="11"/>
        <v>24155284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597</v>
      </c>
      <c r="H114" s="36">
        <f t="shared" si="8"/>
        <v>0</v>
      </c>
      <c r="I114" s="11">
        <f t="shared" si="9"/>
        <v>-3402900</v>
      </c>
      <c r="J114" s="53">
        <f t="shared" si="10"/>
        <v>-1492500</v>
      </c>
      <c r="K114" s="53">
        <f t="shared" si="11"/>
        <v>-1910400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584</v>
      </c>
      <c r="H115" s="36">
        <f t="shared" si="8"/>
        <v>0</v>
      </c>
      <c r="I115" s="11">
        <f t="shared" si="9"/>
        <v>0</v>
      </c>
      <c r="J115" s="53">
        <f t="shared" si="10"/>
        <v>292000000</v>
      </c>
      <c r="K115" s="53">
        <f t="shared" si="11"/>
        <v>-292000000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576</v>
      </c>
      <c r="H116" s="36">
        <f t="shared" si="8"/>
        <v>0</v>
      </c>
      <c r="I116" s="11">
        <f t="shared" si="9"/>
        <v>-92160000</v>
      </c>
      <c r="J116" s="53">
        <f t="shared" si="10"/>
        <v>0</v>
      </c>
      <c r="K116" s="53">
        <f t="shared" si="11"/>
        <v>-92160000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567</v>
      </c>
      <c r="H117" s="36">
        <f t="shared" si="8"/>
        <v>1</v>
      </c>
      <c r="I117" s="11">
        <f t="shared" si="9"/>
        <v>837680</v>
      </c>
      <c r="J117" s="53">
        <f t="shared" si="10"/>
        <v>60528606</v>
      </c>
      <c r="K117" s="53">
        <f t="shared" si="11"/>
        <v>-59690926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545</v>
      </c>
      <c r="H118" s="36">
        <f t="shared" si="8"/>
        <v>1</v>
      </c>
      <c r="I118" s="11">
        <f t="shared" si="9"/>
        <v>21433328000</v>
      </c>
      <c r="J118" s="53">
        <f t="shared" si="10"/>
        <v>0</v>
      </c>
      <c r="K118" s="53">
        <f t="shared" si="11"/>
        <v>21433328000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536</v>
      </c>
      <c r="H119" s="36">
        <f t="shared" si="8"/>
        <v>1</v>
      </c>
      <c r="I119" s="11">
        <f t="shared" si="9"/>
        <v>51103735</v>
      </c>
      <c r="J119" s="53">
        <f t="shared" si="10"/>
        <v>58878890</v>
      </c>
      <c r="K119" s="53">
        <f t="shared" si="11"/>
        <v>-7775155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532</v>
      </c>
      <c r="H120" s="11">
        <f t="shared" si="8"/>
        <v>1</v>
      </c>
      <c r="I120" s="11">
        <f t="shared" ref="I120:I266" si="13">B120*(G120-H120)</f>
        <v>1062000000</v>
      </c>
      <c r="J120" s="11">
        <f t="shared" si="10"/>
        <v>0</v>
      </c>
      <c r="K120" s="11">
        <f t="shared" si="11"/>
        <v>1062000000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506</v>
      </c>
      <c r="H121" s="11">
        <f t="shared" si="8"/>
        <v>1</v>
      </c>
      <c r="I121" s="11">
        <f t="shared" si="13"/>
        <v>1313000000</v>
      </c>
      <c r="J121" s="11">
        <f t="shared" si="10"/>
        <v>0</v>
      </c>
      <c r="K121" s="11">
        <f t="shared" si="11"/>
        <v>1313000000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505</v>
      </c>
      <c r="H122" s="11">
        <f t="shared" si="8"/>
        <v>1</v>
      </c>
      <c r="I122" s="11">
        <f t="shared" si="13"/>
        <v>193813704</v>
      </c>
      <c r="J122" s="11">
        <f t="shared" si="10"/>
        <v>55897632</v>
      </c>
      <c r="K122" s="11">
        <f t="shared" si="11"/>
        <v>137916072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504</v>
      </c>
      <c r="H123" s="11">
        <f t="shared" si="8"/>
        <v>0</v>
      </c>
      <c r="I123" s="11">
        <f t="shared" si="13"/>
        <v>0</v>
      </c>
      <c r="J123" s="11">
        <f t="shared" si="10"/>
        <v>403200000</v>
      </c>
      <c r="K123" s="11">
        <f t="shared" si="11"/>
        <v>-403200000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490</v>
      </c>
      <c r="H124" s="11">
        <f t="shared" si="8"/>
        <v>0</v>
      </c>
      <c r="I124" s="11">
        <f t="shared" si="13"/>
        <v>-1470000000</v>
      </c>
      <c r="J124" s="11">
        <f t="shared" si="10"/>
        <v>0</v>
      </c>
      <c r="K124" s="11">
        <f t="shared" si="11"/>
        <v>-1470000000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475</v>
      </c>
      <c r="H125" s="11">
        <f t="shared" si="8"/>
        <v>1</v>
      </c>
      <c r="I125" s="11">
        <f t="shared" si="13"/>
        <v>189936540</v>
      </c>
      <c r="J125" s="11">
        <f t="shared" si="10"/>
        <v>56346750</v>
      </c>
      <c r="K125" s="11">
        <f t="shared" si="11"/>
        <v>133589790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475</v>
      </c>
      <c r="H126" s="11">
        <f t="shared" si="8"/>
        <v>1</v>
      </c>
      <c r="I126" s="11">
        <f t="shared" si="13"/>
        <v>19908000000</v>
      </c>
      <c r="J126" s="11">
        <f t="shared" si="10"/>
        <v>0</v>
      </c>
      <c r="K126" s="11">
        <f t="shared" si="11"/>
        <v>19908000000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450</v>
      </c>
      <c r="H127" s="11">
        <f t="shared" si="8"/>
        <v>0</v>
      </c>
      <c r="I127" s="11">
        <f t="shared" si="13"/>
        <v>-2250000</v>
      </c>
      <c r="J127" s="11">
        <f t="shared" si="10"/>
        <v>0</v>
      </c>
      <c r="K127" s="11">
        <f t="shared" si="11"/>
        <v>-2250000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444</v>
      </c>
      <c r="H128" s="11">
        <f t="shared" si="8"/>
        <v>1</v>
      </c>
      <c r="I128" s="11">
        <f t="shared" si="13"/>
        <v>341718682</v>
      </c>
      <c r="J128" s="11">
        <f t="shared" si="10"/>
        <v>53468771</v>
      </c>
      <c r="K128" s="11">
        <f t="shared" si="11"/>
        <v>288249911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441</v>
      </c>
      <c r="H129" s="11">
        <f t="shared" si="8"/>
        <v>1</v>
      </c>
      <c r="I129" s="11">
        <f t="shared" si="13"/>
        <v>1100000000</v>
      </c>
      <c r="J129" s="11">
        <f t="shared" si="10"/>
        <v>0</v>
      </c>
      <c r="K129" s="11">
        <f t="shared" si="11"/>
        <v>1100000000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427</v>
      </c>
      <c r="H130" s="11">
        <f t="shared" si="8"/>
        <v>0</v>
      </c>
      <c r="I130" s="11">
        <f t="shared" si="13"/>
        <v>-427000000</v>
      </c>
      <c r="J130" s="11">
        <f t="shared" si="10"/>
        <v>-427000000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422</v>
      </c>
      <c r="H131" s="11">
        <f t="shared" si="8"/>
        <v>0</v>
      </c>
      <c r="I131" s="11">
        <f t="shared" si="13"/>
        <v>-21100000000</v>
      </c>
      <c r="J131" s="11">
        <f t="shared" si="10"/>
        <v>0</v>
      </c>
      <c r="K131" s="11">
        <f t="shared" si="11"/>
        <v>-21100000000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414</v>
      </c>
      <c r="H132" s="11">
        <f t="shared" ref="H132:H266" si="15">IF(B132&gt;0,1,0)</f>
        <v>1</v>
      </c>
      <c r="I132" s="11">
        <f t="shared" si="13"/>
        <v>253700531</v>
      </c>
      <c r="J132" s="11">
        <f t="shared" ref="J132:J206" si="16">C132*(G132-H132)</f>
        <v>43766023</v>
      </c>
      <c r="K132" s="11">
        <f t="shared" ref="K132:K266" si="17">D132*(G132-H132)</f>
        <v>209934508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410</v>
      </c>
      <c r="H133" s="11">
        <f t="shared" si="15"/>
        <v>0</v>
      </c>
      <c r="I133" s="11">
        <f t="shared" si="13"/>
        <v>-496387000</v>
      </c>
      <c r="J133" s="11">
        <f t="shared" si="16"/>
        <v>0</v>
      </c>
      <c r="K133" s="11">
        <f t="shared" si="17"/>
        <v>-496387000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401</v>
      </c>
      <c r="H134" s="11">
        <f t="shared" si="15"/>
        <v>0</v>
      </c>
      <c r="I134" s="11">
        <f t="shared" si="13"/>
        <v>-26065000</v>
      </c>
      <c r="J134" s="11">
        <f t="shared" si="16"/>
        <v>0</v>
      </c>
      <c r="K134" s="11">
        <f t="shared" si="17"/>
        <v>-26065000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401</v>
      </c>
      <c r="H135" s="11">
        <f t="shared" si="15"/>
        <v>0</v>
      </c>
      <c r="I135" s="11">
        <f t="shared" si="13"/>
        <v>-12952300</v>
      </c>
      <c r="J135" s="11">
        <f t="shared" si="16"/>
        <v>0</v>
      </c>
      <c r="K135" s="11">
        <f t="shared" si="17"/>
        <v>-12952300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393</v>
      </c>
      <c r="H136" s="11">
        <f t="shared" si="15"/>
        <v>0</v>
      </c>
      <c r="I136" s="11">
        <f t="shared" si="13"/>
        <v>-393000000</v>
      </c>
      <c r="J136" s="11">
        <f t="shared" si="16"/>
        <v>-393000000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384</v>
      </c>
      <c r="H137" s="11">
        <f t="shared" si="15"/>
        <v>1</v>
      </c>
      <c r="I137" s="11">
        <f t="shared" si="13"/>
        <v>111404359</v>
      </c>
      <c r="J137" s="11">
        <f t="shared" si="16"/>
        <v>37288497</v>
      </c>
      <c r="K137" s="11">
        <f t="shared" si="17"/>
        <v>74115862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367</v>
      </c>
      <c r="H138" s="11">
        <f t="shared" si="15"/>
        <v>0</v>
      </c>
      <c r="I138" s="11">
        <f t="shared" si="13"/>
        <v>-367183500</v>
      </c>
      <c r="J138" s="11">
        <f t="shared" si="16"/>
        <v>-367183500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355</v>
      </c>
      <c r="H139" s="11">
        <f t="shared" si="15"/>
        <v>1</v>
      </c>
      <c r="I139" s="11">
        <f t="shared" si="13"/>
        <v>99912960</v>
      </c>
      <c r="J139" s="11">
        <f t="shared" si="16"/>
        <v>31437678</v>
      </c>
      <c r="K139" s="11">
        <f t="shared" si="17"/>
        <v>68475282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352</v>
      </c>
      <c r="H140" s="11">
        <f t="shared" si="15"/>
        <v>1</v>
      </c>
      <c r="I140" s="11">
        <f t="shared" si="13"/>
        <v>526500000</v>
      </c>
      <c r="J140" s="11">
        <f t="shared" si="16"/>
        <v>0</v>
      </c>
      <c r="K140" s="11">
        <f t="shared" si="17"/>
        <v>526500000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339</v>
      </c>
      <c r="H141" s="11">
        <f t="shared" si="15"/>
        <v>0</v>
      </c>
      <c r="I141" s="11">
        <f t="shared" si="13"/>
        <v>0</v>
      </c>
      <c r="J141" s="11">
        <f t="shared" si="16"/>
        <v>-339000000</v>
      </c>
      <c r="K141" s="11">
        <f t="shared" si="17"/>
        <v>339000000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325</v>
      </c>
      <c r="H142" s="11">
        <f t="shared" si="15"/>
        <v>1</v>
      </c>
      <c r="I142" s="11">
        <f t="shared" si="13"/>
        <v>94249332</v>
      </c>
      <c r="J142" s="11">
        <f t="shared" si="16"/>
        <v>26251128</v>
      </c>
      <c r="K142" s="11">
        <f t="shared" si="17"/>
        <v>67998204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305</v>
      </c>
      <c r="H143" s="11">
        <f t="shared" si="15"/>
        <v>0</v>
      </c>
      <c r="I143" s="11">
        <f t="shared" si="13"/>
        <v>0</v>
      </c>
      <c r="J143" s="11">
        <f t="shared" si="16"/>
        <v>-305000000</v>
      </c>
      <c r="K143" s="11">
        <f t="shared" si="17"/>
        <v>305000000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295</v>
      </c>
      <c r="H144" s="11">
        <f t="shared" si="15"/>
        <v>1</v>
      </c>
      <c r="I144" s="11">
        <f t="shared" si="13"/>
        <v>86686488</v>
      </c>
      <c r="J144" s="11">
        <f t="shared" si="16"/>
        <v>21949158</v>
      </c>
      <c r="K144" s="11">
        <f t="shared" si="17"/>
        <v>64737330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280</v>
      </c>
      <c r="H145" s="11">
        <f t="shared" si="15"/>
        <v>0</v>
      </c>
      <c r="I145" s="11">
        <f t="shared" si="13"/>
        <v>-2800000</v>
      </c>
      <c r="J145" s="11">
        <f t="shared" si="16"/>
        <v>-1400000</v>
      </c>
      <c r="K145" s="11">
        <f t="shared" si="17"/>
        <v>-1400000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275</v>
      </c>
      <c r="H146" s="11">
        <f t="shared" si="15"/>
        <v>0</v>
      </c>
      <c r="I146" s="11">
        <f t="shared" si="13"/>
        <v>-275137500</v>
      </c>
      <c r="J146" s="11">
        <f t="shared" si="16"/>
        <v>-275137500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269</v>
      </c>
      <c r="H147" s="11">
        <f t="shared" si="15"/>
        <v>0</v>
      </c>
      <c r="I147" s="11">
        <f t="shared" si="13"/>
        <v>-7263000000</v>
      </c>
      <c r="J147" s="11">
        <f t="shared" si="16"/>
        <v>0</v>
      </c>
      <c r="K147" s="11">
        <f t="shared" si="17"/>
        <v>-7263000000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266</v>
      </c>
      <c r="H148" s="11">
        <f t="shared" si="15"/>
        <v>1</v>
      </c>
      <c r="I148" s="11">
        <f t="shared" si="13"/>
        <v>66895540</v>
      </c>
      <c r="J148" s="11">
        <f t="shared" si="16"/>
        <v>17360150</v>
      </c>
      <c r="K148" s="11">
        <f t="shared" si="17"/>
        <v>49535390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258</v>
      </c>
      <c r="H149" s="11">
        <f t="shared" si="15"/>
        <v>1</v>
      </c>
      <c r="I149" s="11">
        <f t="shared" si="13"/>
        <v>13466800000</v>
      </c>
      <c r="J149" s="11">
        <f t="shared" si="16"/>
        <v>0</v>
      </c>
      <c r="K149" s="11">
        <f t="shared" si="17"/>
        <v>13466800000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251</v>
      </c>
      <c r="H150" s="11">
        <f t="shared" si="15"/>
        <v>0</v>
      </c>
      <c r="I150" s="11">
        <f t="shared" si="13"/>
        <v>-13052000000</v>
      </c>
      <c r="J150" s="11">
        <f t="shared" si="16"/>
        <v>0</v>
      </c>
      <c r="K150" s="11">
        <f t="shared" si="17"/>
        <v>-13052000000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246</v>
      </c>
      <c r="H151" s="99">
        <f t="shared" si="15"/>
        <v>0</v>
      </c>
      <c r="I151" s="99">
        <f t="shared" si="13"/>
        <v>-1968000000</v>
      </c>
      <c r="J151" s="99">
        <f t="shared" si="16"/>
        <v>-1665944226</v>
      </c>
      <c r="K151" s="11">
        <f t="shared" si="17"/>
        <v>-302055774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246</v>
      </c>
      <c r="H152" s="99">
        <f t="shared" si="15"/>
        <v>0</v>
      </c>
      <c r="I152" s="99">
        <f t="shared" si="13"/>
        <v>-7682580</v>
      </c>
      <c r="J152" s="99">
        <f t="shared" si="16"/>
        <v>0</v>
      </c>
      <c r="K152" s="99">
        <f t="shared" si="17"/>
        <v>-7682580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235</v>
      </c>
      <c r="H153" s="99">
        <f t="shared" si="15"/>
        <v>1</v>
      </c>
      <c r="I153" s="99">
        <f t="shared" si="13"/>
        <v>31610358</v>
      </c>
      <c r="J153" s="99">
        <f t="shared" si="16"/>
        <v>9624420</v>
      </c>
      <c r="K153" s="99">
        <f t="shared" si="17"/>
        <v>21985938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232</v>
      </c>
      <c r="H154" s="99">
        <f t="shared" si="15"/>
        <v>1</v>
      </c>
      <c r="I154" s="99">
        <f t="shared" si="13"/>
        <v>1576362942</v>
      </c>
      <c r="J154" s="99">
        <f t="shared" si="16"/>
        <v>1576362942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227</v>
      </c>
      <c r="H155" s="99">
        <f t="shared" si="15"/>
        <v>0</v>
      </c>
      <c r="I155" s="99">
        <f t="shared" si="13"/>
        <v>-45400000</v>
      </c>
      <c r="J155" s="99">
        <f t="shared" si="16"/>
        <v>0</v>
      </c>
      <c r="K155" s="99">
        <f t="shared" si="17"/>
        <v>-45400000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227</v>
      </c>
      <c r="H156" s="99">
        <f t="shared" si="15"/>
        <v>0</v>
      </c>
      <c r="I156" s="99">
        <f t="shared" si="13"/>
        <v>-56259680</v>
      </c>
      <c r="J156" s="99">
        <f t="shared" si="16"/>
        <v>0</v>
      </c>
      <c r="K156" s="99">
        <f t="shared" si="17"/>
        <v>-56259680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226</v>
      </c>
      <c r="H157" s="99">
        <f t="shared" si="15"/>
        <v>0</v>
      </c>
      <c r="I157" s="99">
        <f t="shared" si="13"/>
        <v>-36688840</v>
      </c>
      <c r="J157" s="99">
        <f t="shared" si="16"/>
        <v>0</v>
      </c>
      <c r="K157" s="99">
        <f t="shared" si="17"/>
        <v>-36688840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226</v>
      </c>
      <c r="H158" s="99">
        <f t="shared" si="15"/>
        <v>0</v>
      </c>
      <c r="I158" s="99">
        <f t="shared" si="13"/>
        <v>-678203400</v>
      </c>
      <c r="J158" s="99">
        <f t="shared" si="16"/>
        <v>0</v>
      </c>
      <c r="K158" s="99">
        <f t="shared" si="17"/>
        <v>-678203400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224</v>
      </c>
      <c r="H159" s="99">
        <f t="shared" si="15"/>
        <v>0</v>
      </c>
      <c r="I159" s="99">
        <f t="shared" si="13"/>
        <v>-224112000</v>
      </c>
      <c r="J159" s="99">
        <f t="shared" si="16"/>
        <v>0</v>
      </c>
      <c r="K159" s="99">
        <f t="shared" si="17"/>
        <v>-224112000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220</v>
      </c>
      <c r="H160" s="99">
        <f t="shared" si="15"/>
        <v>0</v>
      </c>
      <c r="I160" s="99">
        <f t="shared" si="13"/>
        <v>-22000000</v>
      </c>
      <c r="J160" s="99">
        <f t="shared" si="16"/>
        <v>0</v>
      </c>
      <c r="K160" s="99">
        <f t="shared" si="17"/>
        <v>-22000000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219</v>
      </c>
      <c r="H161" s="99">
        <f t="shared" si="15"/>
        <v>0</v>
      </c>
      <c r="I161" s="99">
        <f t="shared" si="13"/>
        <v>-438000000</v>
      </c>
      <c r="J161" s="99">
        <f t="shared" si="16"/>
        <v>0</v>
      </c>
      <c r="K161" s="99">
        <f t="shared" si="17"/>
        <v>-438000000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219</v>
      </c>
      <c r="H162" s="99">
        <f t="shared" si="15"/>
        <v>0</v>
      </c>
      <c r="I162" s="99">
        <f t="shared" si="13"/>
        <v>-219109500</v>
      </c>
      <c r="J162" s="99">
        <f t="shared" si="16"/>
        <v>0</v>
      </c>
      <c r="K162" s="99">
        <f t="shared" si="17"/>
        <v>-219109500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216</v>
      </c>
      <c r="H163" s="99">
        <f t="shared" si="15"/>
        <v>0</v>
      </c>
      <c r="I163" s="99">
        <f t="shared" si="13"/>
        <v>-1080000</v>
      </c>
      <c r="J163" s="99">
        <f t="shared" si="16"/>
        <v>0</v>
      </c>
      <c r="K163" s="99">
        <f t="shared" si="17"/>
        <v>-1080000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206</v>
      </c>
      <c r="H164" s="99">
        <f t="shared" si="15"/>
        <v>1</v>
      </c>
      <c r="I164" s="99">
        <f t="shared" si="13"/>
        <v>615000000</v>
      </c>
      <c r="J164" s="99">
        <f t="shared" si="16"/>
        <v>0</v>
      </c>
      <c r="K164" s="99">
        <f t="shared" si="17"/>
        <v>615000000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205</v>
      </c>
      <c r="H165" s="99">
        <f t="shared" si="15"/>
        <v>1</v>
      </c>
      <c r="I165" s="99">
        <f t="shared" si="13"/>
        <v>612000000</v>
      </c>
      <c r="J165" s="99">
        <f t="shared" si="16"/>
        <v>0</v>
      </c>
      <c r="K165" s="99">
        <f t="shared" si="17"/>
        <v>612000000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204</v>
      </c>
      <c r="H166" s="99">
        <f t="shared" si="15"/>
        <v>1</v>
      </c>
      <c r="I166" s="99">
        <f t="shared" si="13"/>
        <v>4123742</v>
      </c>
      <c r="J166" s="99">
        <f t="shared" si="16"/>
        <v>12147926</v>
      </c>
      <c r="K166" s="99">
        <f t="shared" si="17"/>
        <v>-8024184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199</v>
      </c>
      <c r="H167" s="99">
        <f t="shared" si="15"/>
        <v>0</v>
      </c>
      <c r="I167" s="99">
        <f t="shared" si="13"/>
        <v>-597179100</v>
      </c>
      <c r="J167" s="99">
        <f t="shared" si="16"/>
        <v>0</v>
      </c>
      <c r="K167" s="99">
        <f t="shared" si="17"/>
        <v>-597179100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181</v>
      </c>
      <c r="H168" s="99">
        <f t="shared" si="15"/>
        <v>0</v>
      </c>
      <c r="I168" s="99">
        <f t="shared" si="13"/>
        <v>-543162900</v>
      </c>
      <c r="J168" s="99">
        <f t="shared" si="16"/>
        <v>0</v>
      </c>
      <c r="K168" s="99">
        <f t="shared" si="17"/>
        <v>-543162900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173</v>
      </c>
      <c r="H169" s="99">
        <f t="shared" si="15"/>
        <v>1</v>
      </c>
      <c r="I169" s="99">
        <f t="shared" si="13"/>
        <v>3733260</v>
      </c>
      <c r="J169" s="99">
        <f t="shared" si="16"/>
        <v>11784580</v>
      </c>
      <c r="K169" s="99">
        <f t="shared" si="17"/>
        <v>-8051320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149</v>
      </c>
      <c r="H170" s="99">
        <f t="shared" si="15"/>
        <v>1</v>
      </c>
      <c r="I170" s="99">
        <f t="shared" si="13"/>
        <v>740000000</v>
      </c>
      <c r="J170" s="99">
        <f t="shared" si="16"/>
        <v>0</v>
      </c>
      <c r="K170" s="99">
        <f t="shared" si="17"/>
        <v>740000000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148</v>
      </c>
      <c r="H171" s="99">
        <f t="shared" si="15"/>
        <v>0</v>
      </c>
      <c r="I171" s="99">
        <f t="shared" si="13"/>
        <v>-740000000</v>
      </c>
      <c r="J171" s="99">
        <f t="shared" si="16"/>
        <v>0</v>
      </c>
      <c r="K171" s="99">
        <f t="shared" si="17"/>
        <v>-740000000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142</v>
      </c>
      <c r="H172" s="99">
        <f t="shared" si="15"/>
        <v>1</v>
      </c>
      <c r="I172" s="99">
        <f t="shared" si="13"/>
        <v>69936</v>
      </c>
      <c r="J172" s="99">
        <f t="shared" si="16"/>
        <v>8838021</v>
      </c>
      <c r="K172" s="99">
        <f t="shared" si="17"/>
        <v>-8768085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141</v>
      </c>
      <c r="H173" s="99">
        <f t="shared" si="15"/>
        <v>1</v>
      </c>
      <c r="I173" s="99">
        <f t="shared" si="13"/>
        <v>109900000</v>
      </c>
      <c r="J173" s="99">
        <f t="shared" si="16"/>
        <v>0</v>
      </c>
      <c r="K173" s="99">
        <f t="shared" si="17"/>
        <v>109900000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130</v>
      </c>
      <c r="H174" s="99">
        <f t="shared" si="15"/>
        <v>0</v>
      </c>
      <c r="I174" s="99">
        <f t="shared" si="13"/>
        <v>-4160000</v>
      </c>
      <c r="J174" s="99">
        <f t="shared" si="16"/>
        <v>0</v>
      </c>
      <c r="K174" s="99">
        <f t="shared" si="17"/>
        <v>-4160000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128</v>
      </c>
      <c r="H175" s="99">
        <f t="shared" si="15"/>
        <v>0</v>
      </c>
      <c r="I175" s="99">
        <f t="shared" si="13"/>
        <v>-96000000</v>
      </c>
      <c r="J175" s="99">
        <f t="shared" si="16"/>
        <v>0</v>
      </c>
      <c r="K175" s="99">
        <f t="shared" si="17"/>
        <v>-96000000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119</v>
      </c>
      <c r="H176" s="99">
        <f t="shared" si="15"/>
        <v>0</v>
      </c>
      <c r="I176" s="99">
        <f t="shared" si="13"/>
        <v>-1118124</v>
      </c>
      <c r="J176" s="99">
        <f t="shared" si="16"/>
        <v>0</v>
      </c>
      <c r="K176" s="99">
        <f t="shared" si="17"/>
        <v>-1118124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118</v>
      </c>
      <c r="H177" s="99">
        <f t="shared" si="15"/>
        <v>0</v>
      </c>
      <c r="I177" s="99">
        <f t="shared" si="13"/>
        <v>-5109400</v>
      </c>
      <c r="J177" s="99">
        <f t="shared" si="16"/>
        <v>0</v>
      </c>
      <c r="K177" s="99">
        <f t="shared" si="17"/>
        <v>-5109400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115</v>
      </c>
      <c r="H178" s="99">
        <f t="shared" si="15"/>
        <v>1</v>
      </c>
      <c r="I178" s="99">
        <f t="shared" si="13"/>
        <v>41040000</v>
      </c>
      <c r="J178" s="99">
        <f t="shared" si="16"/>
        <v>0</v>
      </c>
      <c r="K178" s="99">
        <f t="shared" si="17"/>
        <v>41040000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113</v>
      </c>
      <c r="H179" s="99">
        <f t="shared" si="15"/>
        <v>1</v>
      </c>
      <c r="I179" s="99">
        <f t="shared" si="13"/>
        <v>336000000</v>
      </c>
      <c r="J179" s="99">
        <f t="shared" si="16"/>
        <v>0</v>
      </c>
      <c r="K179" s="99">
        <f t="shared" si="17"/>
        <v>336000000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113</v>
      </c>
      <c r="H180" s="99">
        <f t="shared" si="15"/>
        <v>0</v>
      </c>
      <c r="I180" s="99">
        <f t="shared" si="13"/>
        <v>-1361650</v>
      </c>
      <c r="J180" s="99">
        <f t="shared" si="16"/>
        <v>0</v>
      </c>
      <c r="K180" s="99">
        <f t="shared" si="17"/>
        <v>-1361650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111</v>
      </c>
      <c r="H181" s="99">
        <f t="shared" si="15"/>
        <v>1</v>
      </c>
      <c r="I181" s="99">
        <f t="shared" si="13"/>
        <v>330000000</v>
      </c>
      <c r="J181" s="99">
        <f t="shared" si="16"/>
        <v>0</v>
      </c>
      <c r="K181" s="99">
        <f t="shared" si="17"/>
        <v>330000000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109</v>
      </c>
      <c r="H182" s="99">
        <f t="shared" si="15"/>
        <v>0</v>
      </c>
      <c r="I182" s="99">
        <f t="shared" si="13"/>
        <v>-3902200</v>
      </c>
      <c r="J182" s="99">
        <f t="shared" si="16"/>
        <v>0</v>
      </c>
      <c r="K182" s="99">
        <f t="shared" si="17"/>
        <v>-3902200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108</v>
      </c>
      <c r="H183" s="99">
        <f t="shared" si="15"/>
        <v>1</v>
      </c>
      <c r="I183" s="99">
        <f t="shared" si="13"/>
        <v>385200000</v>
      </c>
      <c r="J183" s="99">
        <f t="shared" si="16"/>
        <v>0</v>
      </c>
      <c r="K183" s="99">
        <f t="shared" si="17"/>
        <v>385200000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108</v>
      </c>
      <c r="H184" s="99">
        <f t="shared" si="15"/>
        <v>0</v>
      </c>
      <c r="I184" s="99">
        <f t="shared" si="13"/>
        <v>-3604716</v>
      </c>
      <c r="J184" s="99">
        <f t="shared" si="16"/>
        <v>0</v>
      </c>
      <c r="K184" s="99">
        <f t="shared" si="17"/>
        <v>-3604716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105</v>
      </c>
      <c r="H185" s="99">
        <f t="shared" si="15"/>
        <v>0</v>
      </c>
      <c r="I185" s="99">
        <f t="shared" si="13"/>
        <v>-1029000000</v>
      </c>
      <c r="J185" s="99">
        <f t="shared" si="16"/>
        <v>0</v>
      </c>
      <c r="K185" s="99">
        <f t="shared" si="17"/>
        <v>-1029000000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105</v>
      </c>
      <c r="H186" s="99">
        <f t="shared" si="15"/>
        <v>1</v>
      </c>
      <c r="I186" s="99">
        <f t="shared" si="13"/>
        <v>1872000000</v>
      </c>
      <c r="J186" s="99">
        <f t="shared" si="16"/>
        <v>0</v>
      </c>
      <c r="K186" s="99">
        <f t="shared" si="17"/>
        <v>1872000000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105</v>
      </c>
      <c r="H187" s="99">
        <f t="shared" si="15"/>
        <v>0</v>
      </c>
      <c r="I187" s="99">
        <f t="shared" si="13"/>
        <v>-945000000</v>
      </c>
      <c r="J187" s="99">
        <f t="shared" si="16"/>
        <v>0</v>
      </c>
      <c r="K187" s="99">
        <f t="shared" si="17"/>
        <v>-945000000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105</v>
      </c>
      <c r="H188" s="99">
        <f t="shared" si="15"/>
        <v>0</v>
      </c>
      <c r="I188" s="99">
        <f t="shared" si="13"/>
        <v>-1218000</v>
      </c>
      <c r="J188" s="99">
        <f t="shared" si="16"/>
        <v>0</v>
      </c>
      <c r="K188" s="99">
        <f t="shared" si="17"/>
        <v>-1218000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105</v>
      </c>
      <c r="H189" s="99">
        <f t="shared" si="15"/>
        <v>0</v>
      </c>
      <c r="I189" s="99">
        <f t="shared" si="13"/>
        <v>-346954335</v>
      </c>
      <c r="J189" s="99">
        <f t="shared" si="16"/>
        <v>0</v>
      </c>
      <c r="K189" s="99">
        <f t="shared" si="17"/>
        <v>-346954335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104</v>
      </c>
      <c r="H190" s="99">
        <f t="shared" si="15"/>
        <v>0</v>
      </c>
      <c r="I190" s="99">
        <f t="shared" si="13"/>
        <v>-312093600</v>
      </c>
      <c r="J190" s="99">
        <f t="shared" si="16"/>
        <v>0</v>
      </c>
      <c r="K190" s="99">
        <f t="shared" si="17"/>
        <v>-312093600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103</v>
      </c>
      <c r="H191" s="99">
        <f t="shared" si="15"/>
        <v>0</v>
      </c>
      <c r="I191" s="99">
        <f t="shared" si="13"/>
        <v>-284372700</v>
      </c>
      <c r="J191" s="99">
        <f t="shared" si="16"/>
        <v>0</v>
      </c>
      <c r="K191" s="99">
        <f t="shared" si="17"/>
        <v>-284372700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98</v>
      </c>
      <c r="H192" s="99">
        <f t="shared" si="15"/>
        <v>1</v>
      </c>
      <c r="I192" s="99">
        <f t="shared" si="13"/>
        <v>97000000</v>
      </c>
      <c r="J192" s="99">
        <f t="shared" si="16"/>
        <v>0</v>
      </c>
      <c r="K192" s="99">
        <f t="shared" si="17"/>
        <v>97000000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97</v>
      </c>
      <c r="H193" s="99">
        <f t="shared" si="15"/>
        <v>0</v>
      </c>
      <c r="I193" s="99">
        <f t="shared" si="13"/>
        <v>-1455000</v>
      </c>
      <c r="J193" s="99">
        <f t="shared" si="16"/>
        <v>0</v>
      </c>
      <c r="K193" s="99">
        <f t="shared" si="17"/>
        <v>-1455000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95</v>
      </c>
      <c r="H194" s="99">
        <f t="shared" si="15"/>
        <v>0</v>
      </c>
      <c r="I194" s="99">
        <f t="shared" si="13"/>
        <v>-94050000</v>
      </c>
      <c r="J194" s="99">
        <f t="shared" si="16"/>
        <v>0</v>
      </c>
      <c r="K194" s="99">
        <f t="shared" si="17"/>
        <v>-94050000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95</v>
      </c>
      <c r="H195" s="99">
        <f t="shared" si="15"/>
        <v>1</v>
      </c>
      <c r="I195" s="99">
        <f t="shared" si="13"/>
        <v>73602000</v>
      </c>
      <c r="J195" s="99">
        <f t="shared" si="16"/>
        <v>0</v>
      </c>
      <c r="K195" s="99">
        <f t="shared" si="17"/>
        <v>73602000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93</v>
      </c>
      <c r="H196" s="99">
        <f t="shared" si="15"/>
        <v>0</v>
      </c>
      <c r="I196" s="99">
        <f t="shared" si="13"/>
        <v>-69796500</v>
      </c>
      <c r="J196" s="99">
        <f t="shared" si="16"/>
        <v>0</v>
      </c>
      <c r="K196" s="99">
        <f t="shared" si="17"/>
        <v>-69796500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91</v>
      </c>
      <c r="H197" s="99">
        <f t="shared" si="15"/>
        <v>1</v>
      </c>
      <c r="I197" s="99">
        <f t="shared" si="13"/>
        <v>63000000</v>
      </c>
      <c r="J197" s="99">
        <f t="shared" si="16"/>
        <v>0</v>
      </c>
      <c r="K197" s="99">
        <f t="shared" si="17"/>
        <v>63000000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91</v>
      </c>
      <c r="H198" s="99">
        <f t="shared" si="15"/>
        <v>0</v>
      </c>
      <c r="I198" s="99">
        <f t="shared" si="13"/>
        <v>-9009000</v>
      </c>
      <c r="J198" s="99">
        <f t="shared" si="16"/>
        <v>0</v>
      </c>
      <c r="K198" s="99">
        <f t="shared" si="17"/>
        <v>-9009000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90</v>
      </c>
      <c r="H199" s="99">
        <f t="shared" si="15"/>
        <v>0</v>
      </c>
      <c r="I199" s="99">
        <f t="shared" si="13"/>
        <v>-18517500</v>
      </c>
      <c r="J199" s="99">
        <f t="shared" si="16"/>
        <v>0</v>
      </c>
      <c r="K199" s="99">
        <f t="shared" si="17"/>
        <v>-18517500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90</v>
      </c>
      <c r="H200" s="99">
        <f t="shared" si="15"/>
        <v>0</v>
      </c>
      <c r="I200" s="99">
        <f t="shared" si="13"/>
        <v>-8550000</v>
      </c>
      <c r="J200" s="99">
        <f t="shared" si="16"/>
        <v>0</v>
      </c>
      <c r="K200" s="99">
        <f t="shared" si="17"/>
        <v>-8550000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87</v>
      </c>
      <c r="H201" s="99">
        <f t="shared" si="15"/>
        <v>1</v>
      </c>
      <c r="I201" s="99">
        <f t="shared" si="13"/>
        <v>4183900000</v>
      </c>
      <c r="J201" s="99">
        <f t="shared" si="16"/>
        <v>0</v>
      </c>
      <c r="K201" s="99">
        <f t="shared" si="17"/>
        <v>4183900000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87</v>
      </c>
      <c r="H202" s="99">
        <f t="shared" si="15"/>
        <v>0</v>
      </c>
      <c r="I202" s="99">
        <f t="shared" si="13"/>
        <v>-261078300</v>
      </c>
      <c r="J202" s="99">
        <f t="shared" si="16"/>
        <v>0</v>
      </c>
      <c r="K202" s="99">
        <f t="shared" si="17"/>
        <v>-261078300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87</v>
      </c>
      <c r="H203" s="99">
        <f t="shared" si="15"/>
        <v>0</v>
      </c>
      <c r="I203" s="99">
        <f t="shared" si="13"/>
        <v>-435000</v>
      </c>
      <c r="J203" s="99">
        <f t="shared" si="16"/>
        <v>0</v>
      </c>
      <c r="K203" s="99">
        <f t="shared" si="17"/>
        <v>-435000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87</v>
      </c>
      <c r="H204" s="99">
        <f t="shared" si="15"/>
        <v>0</v>
      </c>
      <c r="I204" s="99">
        <f t="shared" si="13"/>
        <v>-2914500000</v>
      </c>
      <c r="J204" s="99">
        <f t="shared" si="16"/>
        <v>0</v>
      </c>
      <c r="K204" s="99">
        <f t="shared" si="17"/>
        <v>-2914500000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86</v>
      </c>
      <c r="H205" s="99">
        <f t="shared" si="15"/>
        <v>0</v>
      </c>
      <c r="I205" s="99">
        <f t="shared" si="13"/>
        <v>-1069410000</v>
      </c>
      <c r="J205" s="99">
        <f t="shared" si="16"/>
        <v>0</v>
      </c>
      <c r="K205" s="99">
        <f t="shared" si="17"/>
        <v>-1069410000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83</v>
      </c>
      <c r="H206" s="99">
        <f t="shared" si="15"/>
        <v>0</v>
      </c>
      <c r="I206" s="99">
        <f t="shared" si="13"/>
        <v>-1535500</v>
      </c>
      <c r="J206" s="99">
        <f t="shared" si="16"/>
        <v>0</v>
      </c>
      <c r="K206" s="99">
        <f t="shared" si="17"/>
        <v>-1535500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81</v>
      </c>
      <c r="H207" s="99">
        <f t="shared" si="15"/>
        <v>1</v>
      </c>
      <c r="I207" s="99">
        <f t="shared" si="13"/>
        <v>1158400</v>
      </c>
      <c r="J207" s="99">
        <f t="shared" ref="J207:J266" si="20">C207*(G207-H207)</f>
        <v>5669920</v>
      </c>
      <c r="K207" s="99">
        <f t="shared" si="17"/>
        <v>-4511520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80</v>
      </c>
      <c r="H208" s="99">
        <f t="shared" si="15"/>
        <v>1</v>
      </c>
      <c r="I208" s="99">
        <f t="shared" si="13"/>
        <v>65570000</v>
      </c>
      <c r="J208" s="99">
        <f t="shared" si="20"/>
        <v>0</v>
      </c>
      <c r="K208" s="99">
        <f t="shared" si="17"/>
        <v>65570000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78</v>
      </c>
      <c r="H209" s="99">
        <f t="shared" si="15"/>
        <v>0</v>
      </c>
      <c r="I209" s="99">
        <f t="shared" si="13"/>
        <v>-4090320</v>
      </c>
      <c r="J209" s="99">
        <f t="shared" si="20"/>
        <v>0</v>
      </c>
      <c r="K209" s="99">
        <f t="shared" si="17"/>
        <v>-4090320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77</v>
      </c>
      <c r="H210" s="99">
        <f t="shared" si="15"/>
        <v>0</v>
      </c>
      <c r="I210" s="99">
        <f t="shared" si="13"/>
        <v>-3934700</v>
      </c>
      <c r="J210" s="99">
        <f t="shared" si="20"/>
        <v>0</v>
      </c>
      <c r="K210" s="99">
        <f t="shared" si="17"/>
        <v>-3934700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76</v>
      </c>
      <c r="H211" s="99">
        <f t="shared" si="15"/>
        <v>0</v>
      </c>
      <c r="I211" s="99">
        <f t="shared" si="13"/>
        <v>-15200000</v>
      </c>
      <c r="J211" s="99">
        <f t="shared" si="20"/>
        <v>0</v>
      </c>
      <c r="K211" s="99">
        <f t="shared" si="17"/>
        <v>-15200000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75</v>
      </c>
      <c r="H212" s="99">
        <f t="shared" si="15"/>
        <v>0</v>
      </c>
      <c r="I212" s="99">
        <f t="shared" si="13"/>
        <v>-2100000</v>
      </c>
      <c r="J212" s="99">
        <f t="shared" si="20"/>
        <v>0</v>
      </c>
      <c r="K212" s="99">
        <f t="shared" si="17"/>
        <v>-2100000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74</v>
      </c>
      <c r="H213" s="99">
        <f t="shared" si="15"/>
        <v>0</v>
      </c>
      <c r="I213" s="99">
        <f t="shared" si="13"/>
        <v>-4373400</v>
      </c>
      <c r="J213" s="99">
        <f t="shared" si="20"/>
        <v>0</v>
      </c>
      <c r="K213" s="99">
        <f t="shared" si="17"/>
        <v>-4373400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73</v>
      </c>
      <c r="H214" s="99">
        <f t="shared" si="15"/>
        <v>0</v>
      </c>
      <c r="I214" s="99">
        <f t="shared" si="13"/>
        <v>-2190000</v>
      </c>
      <c r="J214" s="99">
        <f t="shared" si="20"/>
        <v>0</v>
      </c>
      <c r="K214" s="99">
        <f t="shared" si="17"/>
        <v>-2190000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73</v>
      </c>
      <c r="H215" s="99">
        <f t="shared" si="15"/>
        <v>0</v>
      </c>
      <c r="I215" s="99">
        <f t="shared" si="13"/>
        <v>-12994000</v>
      </c>
      <c r="J215" s="99">
        <f t="shared" si="20"/>
        <v>0</v>
      </c>
      <c r="K215" s="99">
        <f t="shared" si="17"/>
        <v>-12994000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72</v>
      </c>
      <c r="H216" s="99">
        <f t="shared" si="15"/>
        <v>0</v>
      </c>
      <c r="I216" s="99">
        <f t="shared" si="13"/>
        <v>-6883920</v>
      </c>
      <c r="J216" s="99">
        <f t="shared" si="20"/>
        <v>0</v>
      </c>
      <c r="K216" s="99">
        <f t="shared" si="17"/>
        <v>-6883920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69</v>
      </c>
      <c r="H217" s="99">
        <f t="shared" si="15"/>
        <v>0</v>
      </c>
      <c r="I217" s="99">
        <f t="shared" si="13"/>
        <v>-5796000</v>
      </c>
      <c r="J217" s="99">
        <f t="shared" si="20"/>
        <v>0</v>
      </c>
      <c r="K217" s="99">
        <f t="shared" si="17"/>
        <v>-5796000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67</v>
      </c>
      <c r="H218" s="99">
        <f t="shared" si="15"/>
        <v>0</v>
      </c>
      <c r="I218" s="99">
        <f t="shared" si="13"/>
        <v>-2211000</v>
      </c>
      <c r="J218" s="99">
        <f t="shared" si="20"/>
        <v>0</v>
      </c>
      <c r="K218" s="99">
        <f t="shared" si="17"/>
        <v>-2211000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64</v>
      </c>
      <c r="H219" s="99">
        <f t="shared" si="15"/>
        <v>1</v>
      </c>
      <c r="I219" s="99">
        <f t="shared" si="13"/>
        <v>97524000</v>
      </c>
      <c r="J219" s="99">
        <f t="shared" si="20"/>
        <v>0</v>
      </c>
      <c r="K219" s="99">
        <f t="shared" si="17"/>
        <v>97524000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63</v>
      </c>
      <c r="H220" s="99">
        <f t="shared" si="15"/>
        <v>0</v>
      </c>
      <c r="I220" s="99">
        <f t="shared" si="13"/>
        <v>-88244100</v>
      </c>
      <c r="J220" s="99">
        <f t="shared" si="20"/>
        <v>0</v>
      </c>
      <c r="K220" s="99">
        <f t="shared" si="17"/>
        <v>-88244100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63</v>
      </c>
      <c r="H221" s="99">
        <f t="shared" si="15"/>
        <v>0</v>
      </c>
      <c r="I221" s="99">
        <f t="shared" si="13"/>
        <v>-630000</v>
      </c>
      <c r="J221" s="99">
        <f t="shared" si="20"/>
        <v>0</v>
      </c>
      <c r="K221" s="99">
        <f t="shared" si="17"/>
        <v>-630000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63</v>
      </c>
      <c r="H222" s="99">
        <f t="shared" si="15"/>
        <v>0</v>
      </c>
      <c r="I222" s="99">
        <f t="shared" si="13"/>
        <v>-315000</v>
      </c>
      <c r="J222" s="99">
        <f t="shared" si="20"/>
        <v>-157500</v>
      </c>
      <c r="K222" s="99">
        <f t="shared" si="17"/>
        <v>-157500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57</v>
      </c>
      <c r="H223" s="99">
        <f t="shared" si="15"/>
        <v>0</v>
      </c>
      <c r="I223" s="99">
        <f t="shared" si="13"/>
        <v>-10830000</v>
      </c>
      <c r="J223" s="99">
        <f t="shared" si="20"/>
        <v>0</v>
      </c>
      <c r="K223" s="99">
        <f t="shared" si="17"/>
        <v>-10830000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50</v>
      </c>
      <c r="H224" s="99">
        <f t="shared" si="15"/>
        <v>1</v>
      </c>
      <c r="I224" s="99">
        <f t="shared" si="13"/>
        <v>93639</v>
      </c>
      <c r="J224" s="99">
        <f t="shared" si="20"/>
        <v>3183628</v>
      </c>
      <c r="K224" s="99">
        <f t="shared" si="17"/>
        <v>-3089989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44</v>
      </c>
      <c r="H225" s="99">
        <f t="shared" si="15"/>
        <v>1</v>
      </c>
      <c r="I225" s="99">
        <f t="shared" si="13"/>
        <v>215000000</v>
      </c>
      <c r="J225" s="99">
        <f t="shared" si="20"/>
        <v>0</v>
      </c>
      <c r="K225" s="99">
        <f t="shared" si="17"/>
        <v>215000000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43</v>
      </c>
      <c r="H226" s="99">
        <f t="shared" si="15"/>
        <v>0</v>
      </c>
      <c r="I226" s="99">
        <f t="shared" si="13"/>
        <v>-137600000</v>
      </c>
      <c r="J226" s="99">
        <f t="shared" si="20"/>
        <v>0</v>
      </c>
      <c r="K226" s="99">
        <f t="shared" si="17"/>
        <v>-137600000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43</v>
      </c>
      <c r="H227" s="99">
        <f t="shared" si="15"/>
        <v>1</v>
      </c>
      <c r="I227" s="99">
        <f t="shared" si="13"/>
        <v>100800000</v>
      </c>
      <c r="J227" s="99">
        <f t="shared" si="20"/>
        <v>0</v>
      </c>
      <c r="K227" s="99">
        <f t="shared" si="17"/>
        <v>100800000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41</v>
      </c>
      <c r="H228" s="99">
        <f t="shared" si="15"/>
        <v>0</v>
      </c>
      <c r="I228" s="99">
        <f t="shared" si="13"/>
        <v>-2050000</v>
      </c>
      <c r="J228" s="99">
        <f t="shared" si="20"/>
        <v>0</v>
      </c>
      <c r="K228" s="99">
        <f t="shared" si="17"/>
        <v>-2050000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40</v>
      </c>
      <c r="H229" s="99">
        <f t="shared" si="15"/>
        <v>0</v>
      </c>
      <c r="I229" s="99">
        <f t="shared" si="13"/>
        <v>-164028000</v>
      </c>
      <c r="J229" s="99">
        <f t="shared" si="20"/>
        <v>0</v>
      </c>
      <c r="K229" s="99">
        <f t="shared" si="17"/>
        <v>-164028000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36</v>
      </c>
      <c r="H230" s="99">
        <f t="shared" si="15"/>
        <v>1</v>
      </c>
      <c r="I230" s="99">
        <f t="shared" si="13"/>
        <v>339500000</v>
      </c>
      <c r="J230" s="99">
        <f t="shared" si="20"/>
        <v>0</v>
      </c>
      <c r="K230" s="99">
        <f t="shared" si="17"/>
        <v>339500000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36</v>
      </c>
      <c r="H231" s="99">
        <f t="shared" si="15"/>
        <v>0</v>
      </c>
      <c r="I231" s="99">
        <f t="shared" si="13"/>
        <v>-108032400</v>
      </c>
      <c r="J231" s="99">
        <f t="shared" si="20"/>
        <v>0</v>
      </c>
      <c r="K231" s="99">
        <f t="shared" si="17"/>
        <v>-108032400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35</v>
      </c>
      <c r="H232" s="99">
        <f t="shared" si="15"/>
        <v>0</v>
      </c>
      <c r="I232" s="99">
        <f t="shared" si="13"/>
        <v>-105031500</v>
      </c>
      <c r="J232" s="99">
        <f t="shared" si="20"/>
        <v>0</v>
      </c>
      <c r="K232" s="99">
        <f t="shared" si="17"/>
        <v>-105031500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35</v>
      </c>
      <c r="H233" s="99">
        <f t="shared" si="15"/>
        <v>0</v>
      </c>
      <c r="I233" s="99">
        <f t="shared" si="13"/>
        <v>-19425000</v>
      </c>
      <c r="J233" s="99">
        <f t="shared" si="20"/>
        <v>0</v>
      </c>
      <c r="K233" s="99">
        <f t="shared" si="17"/>
        <v>-19425000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34</v>
      </c>
      <c r="H234" s="99">
        <f t="shared" si="15"/>
        <v>0</v>
      </c>
      <c r="I234" s="99">
        <f t="shared" si="13"/>
        <v>-4704240</v>
      </c>
      <c r="J234" s="99">
        <f t="shared" si="20"/>
        <v>0</v>
      </c>
      <c r="K234" s="99">
        <f t="shared" si="17"/>
        <v>-4704240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33</v>
      </c>
      <c r="H235" s="99">
        <f t="shared" si="15"/>
        <v>0</v>
      </c>
      <c r="I235" s="99">
        <f t="shared" si="13"/>
        <v>-99029700</v>
      </c>
      <c r="J235" s="99">
        <f t="shared" si="20"/>
        <v>0</v>
      </c>
      <c r="K235" s="99">
        <f t="shared" si="17"/>
        <v>-99029700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31</v>
      </c>
      <c r="H236" s="99">
        <f t="shared" si="15"/>
        <v>0</v>
      </c>
      <c r="I236" s="99">
        <f t="shared" si="13"/>
        <v>-1705000</v>
      </c>
      <c r="J236" s="99">
        <f t="shared" si="20"/>
        <v>0</v>
      </c>
      <c r="K236" s="99">
        <f t="shared" si="17"/>
        <v>-1705000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27</v>
      </c>
      <c r="H237" s="99">
        <f t="shared" si="15"/>
        <v>1</v>
      </c>
      <c r="I237" s="99">
        <f t="shared" si="13"/>
        <v>156910000</v>
      </c>
      <c r="J237" s="99">
        <f t="shared" si="20"/>
        <v>0</v>
      </c>
      <c r="K237" s="99">
        <f t="shared" si="17"/>
        <v>156910000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25</v>
      </c>
      <c r="H238" s="99">
        <f t="shared" si="15"/>
        <v>0</v>
      </c>
      <c r="I238" s="99">
        <f t="shared" si="13"/>
        <v>-187500</v>
      </c>
      <c r="J238" s="99">
        <f t="shared" si="20"/>
        <v>0</v>
      </c>
      <c r="K238" s="99">
        <f t="shared" si="17"/>
        <v>-187500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24</v>
      </c>
      <c r="H239" s="99">
        <f t="shared" si="15"/>
        <v>0</v>
      </c>
      <c r="I239" s="99">
        <f t="shared" si="13"/>
        <v>-98364552</v>
      </c>
      <c r="J239" s="99">
        <f t="shared" si="20"/>
        <v>0</v>
      </c>
      <c r="K239" s="99">
        <f t="shared" si="17"/>
        <v>-98364552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24</v>
      </c>
      <c r="H240" s="99">
        <f t="shared" si="15"/>
        <v>0</v>
      </c>
      <c r="I240" s="99">
        <f t="shared" si="13"/>
        <v>-797400</v>
      </c>
      <c r="J240" s="99">
        <f t="shared" si="20"/>
        <v>0</v>
      </c>
      <c r="K240" s="99">
        <f t="shared" si="17"/>
        <v>-797400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24</v>
      </c>
      <c r="H241" s="99">
        <f t="shared" si="15"/>
        <v>0</v>
      </c>
      <c r="I241" s="99">
        <f t="shared" si="13"/>
        <v>-45480000</v>
      </c>
      <c r="J241" s="99">
        <f t="shared" si="20"/>
        <v>0</v>
      </c>
      <c r="K241" s="99">
        <f t="shared" si="17"/>
        <v>-45480000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17</v>
      </c>
      <c r="H242" s="99">
        <f t="shared" si="15"/>
        <v>1</v>
      </c>
      <c r="I242" s="99">
        <f t="shared" si="13"/>
        <v>40000000</v>
      </c>
      <c r="J242" s="99">
        <f t="shared" si="20"/>
        <v>0</v>
      </c>
      <c r="K242" s="99">
        <f t="shared" si="17"/>
        <v>40000000</v>
      </c>
    </row>
    <row r="243" spans="1:13">
      <c r="A243" s="99" t="s">
        <v>4472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15</v>
      </c>
      <c r="H243" s="99">
        <f t="shared" si="15"/>
        <v>0</v>
      </c>
      <c r="I243" s="99">
        <f t="shared" si="13"/>
        <v>-37500000</v>
      </c>
      <c r="J243" s="99">
        <f t="shared" si="20"/>
        <v>0</v>
      </c>
      <c r="K243" s="99">
        <f t="shared" si="17"/>
        <v>-37500000</v>
      </c>
    </row>
    <row r="244" spans="1:13">
      <c r="A244" s="99" t="s">
        <v>4482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13</v>
      </c>
      <c r="H244" s="99">
        <f t="shared" si="15"/>
        <v>1</v>
      </c>
      <c r="I244" s="99">
        <f t="shared" si="13"/>
        <v>13200000</v>
      </c>
      <c r="J244" s="99">
        <f t="shared" si="20"/>
        <v>0</v>
      </c>
      <c r="K244" s="99">
        <f t="shared" si="17"/>
        <v>13200000</v>
      </c>
    </row>
    <row r="245" spans="1:13">
      <c r="A245" s="99" t="s">
        <v>4490</v>
      </c>
      <c r="B245" s="18">
        <v>3000000</v>
      </c>
      <c r="C245" s="18">
        <v>0</v>
      </c>
      <c r="D245" s="18">
        <f t="shared" si="18"/>
        <v>3000000</v>
      </c>
      <c r="E245" s="99" t="s">
        <v>4492</v>
      </c>
      <c r="F245" s="99">
        <v>2</v>
      </c>
      <c r="G245" s="36">
        <f t="shared" si="21"/>
        <v>11</v>
      </c>
      <c r="H245" s="99">
        <f t="shared" si="15"/>
        <v>1</v>
      </c>
      <c r="I245" s="99">
        <f t="shared" si="13"/>
        <v>30000000</v>
      </c>
      <c r="J245" s="99">
        <f t="shared" si="20"/>
        <v>0</v>
      </c>
      <c r="K245" s="99">
        <f t="shared" si="17"/>
        <v>30000000</v>
      </c>
    </row>
    <row r="246" spans="1:13">
      <c r="A246" s="99" t="s">
        <v>4481</v>
      </c>
      <c r="B246" s="18">
        <v>-4040700</v>
      </c>
      <c r="C246" s="18">
        <v>0</v>
      </c>
      <c r="D246" s="18">
        <f t="shared" si="18"/>
        <v>-4040700</v>
      </c>
      <c r="E246" s="99" t="s">
        <v>4526</v>
      </c>
      <c r="F246" s="99">
        <v>0</v>
      </c>
      <c r="G246" s="36">
        <f t="shared" si="21"/>
        <v>9</v>
      </c>
      <c r="H246" s="99">
        <f t="shared" si="15"/>
        <v>0</v>
      </c>
      <c r="I246" s="99">
        <f t="shared" si="13"/>
        <v>-36366300</v>
      </c>
      <c r="J246" s="99">
        <f t="shared" si="20"/>
        <v>0</v>
      </c>
      <c r="K246" s="99">
        <f t="shared" si="17"/>
        <v>-36366300</v>
      </c>
    </row>
    <row r="247" spans="1:13">
      <c r="A247" s="99" t="s">
        <v>4481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9</v>
      </c>
      <c r="H247" s="99">
        <f t="shared" si="15"/>
        <v>1</v>
      </c>
      <c r="I247" s="99">
        <f t="shared" si="13"/>
        <v>3920000</v>
      </c>
      <c r="J247" s="99">
        <f t="shared" si="20"/>
        <v>0</v>
      </c>
      <c r="K247" s="99">
        <f t="shared" si="17"/>
        <v>3920000</v>
      </c>
    </row>
    <row r="248" spans="1:13">
      <c r="A248" s="99" t="s">
        <v>4531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8</v>
      </c>
      <c r="H248" s="99">
        <f t="shared" si="15"/>
        <v>1</v>
      </c>
      <c r="I248" s="99">
        <f t="shared" si="13"/>
        <v>9800000</v>
      </c>
      <c r="J248" s="99">
        <f t="shared" si="20"/>
        <v>0</v>
      </c>
      <c r="K248" s="99">
        <f t="shared" si="17"/>
        <v>9800000</v>
      </c>
      <c r="M248" t="s">
        <v>25</v>
      </c>
    </row>
    <row r="249" spans="1:13">
      <c r="A249" s="99" t="s">
        <v>4531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8</v>
      </c>
      <c r="H249" s="99">
        <f t="shared" si="15"/>
        <v>0</v>
      </c>
      <c r="I249" s="99">
        <f t="shared" si="13"/>
        <v>-12000000</v>
      </c>
      <c r="J249" s="99">
        <f t="shared" si="20"/>
        <v>0</v>
      </c>
      <c r="K249" s="99">
        <f t="shared" si="17"/>
        <v>-12000000</v>
      </c>
    </row>
    <row r="250" spans="1:13">
      <c r="A250" s="99" t="s">
        <v>4541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7</v>
      </c>
      <c r="H250" s="99">
        <f t="shared" si="15"/>
        <v>0</v>
      </c>
      <c r="I250" s="99">
        <f t="shared" si="13"/>
        <v>-700000</v>
      </c>
      <c r="J250" s="99">
        <f t="shared" si="20"/>
        <v>0</v>
      </c>
      <c r="K250" s="99">
        <f t="shared" si="17"/>
        <v>-700000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6</v>
      </c>
      <c r="H251" s="99">
        <f t="shared" si="15"/>
        <v>0</v>
      </c>
      <c r="I251" s="99">
        <f t="shared" si="13"/>
        <v>-83400</v>
      </c>
      <c r="J251" s="99">
        <f t="shared" si="20"/>
        <v>0</v>
      </c>
      <c r="K251" s="99">
        <f t="shared" si="17"/>
        <v>-83400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6</v>
      </c>
      <c r="H252" s="99">
        <f t="shared" si="15"/>
        <v>1</v>
      </c>
      <c r="I252" s="99">
        <f t="shared" si="13"/>
        <v>1500000</v>
      </c>
      <c r="J252" s="99">
        <f t="shared" si="20"/>
        <v>0</v>
      </c>
      <c r="K252" s="99">
        <f t="shared" si="17"/>
        <v>1500000</v>
      </c>
    </row>
    <row r="253" spans="1:13">
      <c r="A253" s="99" t="s">
        <v>4552</v>
      </c>
      <c r="B253" s="18">
        <v>12000000</v>
      </c>
      <c r="C253" s="18">
        <v>0</v>
      </c>
      <c r="D253" s="18">
        <f t="shared" si="18"/>
        <v>12000000</v>
      </c>
      <c r="E253" s="99" t="s">
        <v>4553</v>
      </c>
      <c r="F253" s="99">
        <v>1</v>
      </c>
      <c r="G253" s="36">
        <f t="shared" si="21"/>
        <v>4</v>
      </c>
      <c r="H253" s="99">
        <f t="shared" si="15"/>
        <v>1</v>
      </c>
      <c r="I253" s="99">
        <f t="shared" si="13"/>
        <v>36000000</v>
      </c>
      <c r="J253" s="99">
        <f t="shared" si="20"/>
        <v>0</v>
      </c>
      <c r="K253" s="99">
        <f t="shared" si="17"/>
        <v>36000000</v>
      </c>
    </row>
    <row r="254" spans="1:13">
      <c r="A254" s="99" t="s">
        <v>4554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3</v>
      </c>
      <c r="H254" s="99">
        <f t="shared" si="15"/>
        <v>1</v>
      </c>
      <c r="I254" s="99">
        <f t="shared" si="13"/>
        <v>6000000</v>
      </c>
      <c r="J254" s="99">
        <f t="shared" si="20"/>
        <v>0</v>
      </c>
      <c r="K254" s="99">
        <f t="shared" si="17"/>
        <v>6000000</v>
      </c>
    </row>
    <row r="255" spans="1:13">
      <c r="A255" s="99" t="s">
        <v>4557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2</v>
      </c>
      <c r="H255" s="99">
        <f t="shared" si="15"/>
        <v>0</v>
      </c>
      <c r="I255" s="99">
        <f t="shared" si="13"/>
        <v>-28000000</v>
      </c>
      <c r="J255" s="99">
        <f t="shared" si="20"/>
        <v>0</v>
      </c>
      <c r="K255" s="99">
        <f t="shared" si="17"/>
        <v>-28000000</v>
      </c>
    </row>
    <row r="256" spans="1:13">
      <c r="A256" s="99" t="s">
        <v>4560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1</v>
      </c>
      <c r="H256" s="99">
        <f t="shared" si="15"/>
        <v>0</v>
      </c>
      <c r="I256" s="99">
        <f t="shared" si="13"/>
        <v>-124969</v>
      </c>
      <c r="J256" s="99">
        <f t="shared" si="20"/>
        <v>0</v>
      </c>
      <c r="K256" s="99">
        <f t="shared" si="17"/>
        <v>-124969</v>
      </c>
    </row>
    <row r="257" spans="1:11">
      <c r="A257" s="99" t="s">
        <v>4560</v>
      </c>
      <c r="B257" s="18">
        <v>0</v>
      </c>
      <c r="C257" s="39">
        <v>-7968789</v>
      </c>
      <c r="D257" s="39">
        <f t="shared" si="18"/>
        <v>7968789</v>
      </c>
      <c r="E257" s="99" t="s">
        <v>4565</v>
      </c>
      <c r="F257" s="99">
        <v>1</v>
      </c>
      <c r="G257" s="36">
        <f t="shared" si="21"/>
        <v>1</v>
      </c>
      <c r="H257" s="99">
        <f t="shared" si="15"/>
        <v>0</v>
      </c>
      <c r="I257" s="99">
        <f t="shared" si="13"/>
        <v>0</v>
      </c>
      <c r="J257" s="99">
        <f t="shared" si="20"/>
        <v>-7968789</v>
      </c>
      <c r="K257" s="99">
        <f t="shared" si="17"/>
        <v>7968789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1518201</v>
      </c>
      <c r="C267" s="29">
        <f>SUM(C2:C262)</f>
        <v>0</v>
      </c>
      <c r="D267" s="29">
        <f>SUM(D2:D263)</f>
        <v>1518201</v>
      </c>
      <c r="E267" s="11"/>
      <c r="F267" s="11"/>
      <c r="G267" s="11"/>
      <c r="H267" s="11"/>
      <c r="I267" s="29">
        <f>SUM(I2:I266)</f>
        <v>18833324512</v>
      </c>
      <c r="J267" s="29">
        <f>SUM(J2:J266)</f>
        <v>8687685429</v>
      </c>
      <c r="K267" s="29">
        <f>SUM(K2:K266)</f>
        <v>10145639083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19316230.268717948</v>
      </c>
      <c r="J270" s="29">
        <f>J267/G2</f>
        <v>8910446.5938461535</v>
      </c>
      <c r="K270" s="29">
        <f>K267/G2</f>
        <v>10405783.674871795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2714840</v>
      </c>
      <c r="G274" t="s">
        <v>25</v>
      </c>
      <c r="J274">
        <f>J267/I267*1448696</f>
        <v>668273.6827601149</v>
      </c>
      <c r="K274">
        <f>K267/I267*1448696</f>
        <v>780422.3172398851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1" t="s">
        <v>1089</v>
      </c>
      <c r="R21" s="211"/>
      <c r="S21" s="211"/>
      <c r="T21" s="211"/>
      <c r="U21" s="96"/>
      <c r="V21" s="96"/>
      <c r="W21" s="96"/>
      <c r="X21" s="96"/>
      <c r="Y21" s="96"/>
      <c r="Z21" s="96"/>
    </row>
    <row r="22" spans="5:35">
      <c r="O22" s="99"/>
      <c r="P22" s="99"/>
      <c r="Q22" s="211"/>
      <c r="R22" s="211"/>
      <c r="S22" s="211"/>
      <c r="T22" s="21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2" t="s">
        <v>1090</v>
      </c>
      <c r="R23" s="213" t="s">
        <v>1091</v>
      </c>
      <c r="S23" s="212" t="s">
        <v>1092</v>
      </c>
      <c r="T23" s="214" t="s">
        <v>1093</v>
      </c>
      <c r="AD23" t="s">
        <v>25</v>
      </c>
    </row>
    <row r="24" spans="5:35">
      <c r="O24" s="99"/>
      <c r="P24" s="99"/>
      <c r="Q24" s="212"/>
      <c r="R24" s="213"/>
      <c r="S24" s="212"/>
      <c r="T24" s="214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M11" sqref="M1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4"/>
  <sheetViews>
    <sheetView topLeftCell="P82" zoomScaleNormal="100" workbookViewId="0">
      <selection activeCell="O45" sqref="O4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1518201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4502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78</v>
      </c>
      <c r="T20" s="169" t="s">
        <v>4320</v>
      </c>
      <c r="U20" s="169">
        <v>192.1</v>
      </c>
      <c r="V20" s="169">
        <f t="shared" ref="V20:V30" si="4">U20*(1+$N$80+$Q$15*S20/36500)</f>
        <v>205.74594191780824</v>
      </c>
      <c r="W20" s="32">
        <f t="shared" ref="W20:W30" si="5">V20*(1+$W$19/100)</f>
        <v>209.86086075616441</v>
      </c>
      <c r="X20" s="32">
        <f t="shared" ref="X20:X30" si="6">V20*(1+$X$19/100)</f>
        <v>213.97577959452059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247</v>
      </c>
      <c r="AM20" s="113">
        <f>AJ20*AL20</f>
        <v>4446000000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4515</v>
      </c>
      <c r="L21" s="117">
        <f>-N33</f>
        <v>77170567.619627878</v>
      </c>
      <c r="M21" s="169" t="s">
        <v>4312</v>
      </c>
      <c r="N21" s="113">
        <f t="shared" ref="N21:N30" si="7">O21*P21</f>
        <v>11187936</v>
      </c>
      <c r="O21" s="99">
        <v>64745</v>
      </c>
      <c r="P21" s="190">
        <f>P44</f>
        <v>172.8</v>
      </c>
      <c r="Q21" s="170">
        <v>1450345</v>
      </c>
      <c r="R21" s="169" t="s">
        <v>4316</v>
      </c>
      <c r="S21" s="196">
        <f>S20-36</f>
        <v>42</v>
      </c>
      <c r="T21" s="169" t="s">
        <v>4321</v>
      </c>
      <c r="U21" s="169">
        <v>313.7</v>
      </c>
      <c r="V21" s="169">
        <f t="shared" si="4"/>
        <v>327.32059616438363</v>
      </c>
      <c r="W21" s="32">
        <f t="shared" si="5"/>
        <v>333.86700808767131</v>
      </c>
      <c r="X21" s="32">
        <f t="shared" si="6"/>
        <v>340.41342001095899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246</v>
      </c>
      <c r="AM21" s="113">
        <f t="shared" ref="AM21:AM96" si="9">AJ21*AL21</f>
        <v>615000000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L61</f>
        <v>266709680.61962789</v>
      </c>
      <c r="G22" s="95">
        <f t="shared" si="0"/>
        <v>1264732.0965653956</v>
      </c>
      <c r="H22" s="11"/>
      <c r="I22" s="96"/>
      <c r="J22" s="96"/>
      <c r="K22" s="169" t="s">
        <v>4518</v>
      </c>
      <c r="L22" s="117">
        <f>-'آذر 97'!D49</f>
        <v>-2281018</v>
      </c>
      <c r="M22" s="169" t="s">
        <v>4325</v>
      </c>
      <c r="N22" s="113">
        <f t="shared" si="7"/>
        <v>9719510.4000000004</v>
      </c>
      <c r="O22" s="99">
        <v>33504</v>
      </c>
      <c r="P22" s="190">
        <f>P47</f>
        <v>290.10000000000002</v>
      </c>
      <c r="Q22" s="170">
        <v>400069</v>
      </c>
      <c r="R22" s="169" t="s">
        <v>4322</v>
      </c>
      <c r="S22" s="196">
        <f>S21-1</f>
        <v>41</v>
      </c>
      <c r="T22" s="169" t="s">
        <v>4323</v>
      </c>
      <c r="U22" s="169">
        <v>314.8</v>
      </c>
      <c r="V22" s="169">
        <f t="shared" si="4"/>
        <v>328.22686684931512</v>
      </c>
      <c r="W22" s="32">
        <f t="shared" si="5"/>
        <v>334.79140418630141</v>
      </c>
      <c r="X22" s="32">
        <f t="shared" si="6"/>
        <v>341.35594152328775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245</v>
      </c>
      <c r="AM22" s="113">
        <f t="shared" si="9"/>
        <v>1960000000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4474</v>
      </c>
      <c r="N23" s="113">
        <f t="shared" si="7"/>
        <v>225714.30000000002</v>
      </c>
      <c r="O23" s="99">
        <v>399</v>
      </c>
      <c r="P23" s="190">
        <f>P46</f>
        <v>565.70000000000005</v>
      </c>
      <c r="Q23" s="170">
        <v>8690518</v>
      </c>
      <c r="R23" s="169" t="s">
        <v>4322</v>
      </c>
      <c r="S23" s="196">
        <f>S22</f>
        <v>41</v>
      </c>
      <c r="T23" s="169" t="s">
        <v>4324</v>
      </c>
      <c r="U23" s="169">
        <v>313</v>
      </c>
      <c r="V23" s="169">
        <f t="shared" si="4"/>
        <v>326.35009315068493</v>
      </c>
      <c r="W23" s="32">
        <f t="shared" si="5"/>
        <v>332.87709501369864</v>
      </c>
      <c r="X23" s="32">
        <f t="shared" si="6"/>
        <v>339.40409687671234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244</v>
      </c>
      <c r="AM23" s="113">
        <f t="shared" si="9"/>
        <v>-19410688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3578698.1999999997</v>
      </c>
      <c r="O24" s="99">
        <v>781</v>
      </c>
      <c r="P24" s="99">
        <f>P48</f>
        <v>4582.2</v>
      </c>
      <c r="Q24" s="170">
        <v>595156</v>
      </c>
      <c r="R24" s="169" t="s">
        <v>4412</v>
      </c>
      <c r="S24" s="197">
        <f>S23-16</f>
        <v>25</v>
      </c>
      <c r="T24" s="169" t="s">
        <v>4415</v>
      </c>
      <c r="U24" s="169">
        <v>5808.5</v>
      </c>
      <c r="V24" s="169">
        <f t="shared" si="4"/>
        <v>5984.9510904109593</v>
      </c>
      <c r="W24" s="32">
        <f t="shared" si="5"/>
        <v>6104.6501122191785</v>
      </c>
      <c r="X24" s="32">
        <f t="shared" si="6"/>
        <v>6224.3491340273977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243</v>
      </c>
      <c r="AM24" s="113">
        <f t="shared" si="9"/>
        <v>40216500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134520.4</v>
      </c>
      <c r="O25" s="69">
        <v>749</v>
      </c>
      <c r="P25" s="99">
        <f>P50</f>
        <v>179.6</v>
      </c>
      <c r="Q25" s="170">
        <v>142593</v>
      </c>
      <c r="R25" s="169" t="s">
        <v>4439</v>
      </c>
      <c r="S25" s="169">
        <f>S24-5</f>
        <v>20</v>
      </c>
      <c r="T25" s="169" t="s">
        <v>4448</v>
      </c>
      <c r="U25" s="169">
        <v>189.5</v>
      </c>
      <c r="V25" s="169">
        <f t="shared" si="4"/>
        <v>194.52979726027399</v>
      </c>
      <c r="W25" s="32">
        <f t="shared" si="5"/>
        <v>198.42039320547948</v>
      </c>
      <c r="X25" s="32">
        <f t="shared" si="6"/>
        <v>202.31098915068497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231</v>
      </c>
      <c r="AM25" s="113">
        <f t="shared" si="9"/>
        <v>-6659805537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18</v>
      </c>
      <c r="T26" s="19" t="s">
        <v>4463</v>
      </c>
      <c r="U26" s="169">
        <v>5474</v>
      </c>
      <c r="V26" s="169">
        <f t="shared" si="4"/>
        <v>5610.8949917808222</v>
      </c>
      <c r="W26" s="32">
        <f t="shared" si="5"/>
        <v>5723.1128916164389</v>
      </c>
      <c r="X26" s="32">
        <f t="shared" si="6"/>
        <v>5835.3307914520556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225</v>
      </c>
      <c r="AM26" s="113">
        <f t="shared" si="9"/>
        <v>4162500000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4504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18</v>
      </c>
      <c r="T27" s="19" t="s">
        <v>4464</v>
      </c>
      <c r="U27" s="169">
        <v>5349</v>
      </c>
      <c r="V27" s="169">
        <f t="shared" si="4"/>
        <v>5482.768964383562</v>
      </c>
      <c r="W27" s="32">
        <f t="shared" si="5"/>
        <v>5592.4243436712331</v>
      </c>
      <c r="X27" s="32">
        <f t="shared" si="6"/>
        <v>5702.0797229589043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224</v>
      </c>
      <c r="AM27" s="113">
        <f t="shared" si="9"/>
        <v>-4155200000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4470</v>
      </c>
      <c r="N28" s="113">
        <f t="shared" si="7"/>
        <v>978220.8</v>
      </c>
      <c r="O28" s="69">
        <v>5661</v>
      </c>
      <c r="P28" s="99">
        <f>P44</f>
        <v>172.8</v>
      </c>
      <c r="Q28" s="170">
        <v>1353959</v>
      </c>
      <c r="R28" s="169" t="s">
        <v>4459</v>
      </c>
      <c r="S28" s="204">
        <f>S27</f>
        <v>18</v>
      </c>
      <c r="T28" s="19" t="s">
        <v>4520</v>
      </c>
      <c r="U28" s="169">
        <v>192.2</v>
      </c>
      <c r="V28" s="169">
        <f t="shared" si="4"/>
        <v>197.00657972602741</v>
      </c>
      <c r="W28" s="32">
        <f t="shared" si="5"/>
        <v>200.94671132054796</v>
      </c>
      <c r="X28" s="32">
        <f t="shared" si="6"/>
        <v>204.88684291506851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223</v>
      </c>
      <c r="AM28" s="113">
        <f t="shared" si="9"/>
        <v>-14486303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1642621.5999999999</v>
      </c>
      <c r="O29" s="36">
        <v>9146</v>
      </c>
      <c r="P29" s="99">
        <f>P50</f>
        <v>179.6</v>
      </c>
      <c r="Q29" s="170">
        <v>1799855</v>
      </c>
      <c r="R29" s="169" t="s">
        <v>4468</v>
      </c>
      <c r="S29" s="169">
        <f>S28-3</f>
        <v>15</v>
      </c>
      <c r="T29" s="19" t="s">
        <v>4556</v>
      </c>
      <c r="U29" s="169">
        <v>184.6</v>
      </c>
      <c r="V29" s="169">
        <f t="shared" si="4"/>
        <v>188.79168438356166</v>
      </c>
      <c r="W29" s="32">
        <f t="shared" si="5"/>
        <v>192.56751807123288</v>
      </c>
      <c r="X29" s="32">
        <f t="shared" si="6"/>
        <v>196.34335175890413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218</v>
      </c>
      <c r="AM29" s="113">
        <f t="shared" si="9"/>
        <v>1395200000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4477</v>
      </c>
      <c r="N30" s="113">
        <f t="shared" si="7"/>
        <v>225148.6</v>
      </c>
      <c r="O30" s="36">
        <v>398</v>
      </c>
      <c r="P30" s="99">
        <f>P46</f>
        <v>565.70000000000005</v>
      </c>
      <c r="Q30" s="170">
        <v>146296</v>
      </c>
      <c r="R30" s="169" t="s">
        <v>4472</v>
      </c>
      <c r="S30" s="203">
        <f>S29-2</f>
        <v>13</v>
      </c>
      <c r="T30" s="169" t="s">
        <v>4473</v>
      </c>
      <c r="U30" s="169">
        <v>365</v>
      </c>
      <c r="V30" s="169">
        <f t="shared" si="4"/>
        <v>372.72800000000001</v>
      </c>
      <c r="W30" s="32">
        <f t="shared" si="5"/>
        <v>380.18256000000002</v>
      </c>
      <c r="X30" s="32">
        <f t="shared" si="6"/>
        <v>387.63712000000004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217</v>
      </c>
      <c r="AM30" s="113">
        <f t="shared" si="9"/>
        <v>-36890000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212</v>
      </c>
      <c r="AM31" s="113">
        <f t="shared" si="9"/>
        <v>-1335600000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>
        <f>SUM(N21:N25)-SUM(Q20:Q31)</f>
        <v>-2683760.700000003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211</v>
      </c>
      <c r="AM32" s="113">
        <f t="shared" si="9"/>
        <v>-10975165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-S90</f>
        <v>-77170567.619627878</v>
      </c>
      <c r="O33" s="96" t="s">
        <v>25</v>
      </c>
      <c r="P33" s="96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195</v>
      </c>
      <c r="AM33" s="113">
        <f t="shared" si="9"/>
        <v>3903393000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195</v>
      </c>
      <c r="AM34" s="113">
        <f t="shared" si="9"/>
        <v>197820870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4481</v>
      </c>
      <c r="AU34" s="99" t="s">
        <v>4538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1086</v>
      </c>
      <c r="L35" s="117">
        <f>61*P15</f>
        <v>234850000</v>
      </c>
      <c r="M35" s="169" t="s">
        <v>760</v>
      </c>
      <c r="N35" s="113">
        <v>1200000</v>
      </c>
      <c r="O35" t="s">
        <v>25</v>
      </c>
      <c r="P35" t="s">
        <v>25</v>
      </c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183</v>
      </c>
      <c r="AM35" s="113">
        <f t="shared" si="9"/>
        <v>65880000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4531</v>
      </c>
      <c r="AU35" s="99" t="s">
        <v>4537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4486</v>
      </c>
      <c r="L36" s="117">
        <v>-50000000</v>
      </c>
      <c r="M36" s="73"/>
      <c r="N36" s="113"/>
      <c r="O36" s="96"/>
      <c r="P36" s="96"/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181</v>
      </c>
      <c r="AM36" s="113">
        <f t="shared" si="9"/>
        <v>-63350000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4336</v>
      </c>
      <c r="L37" s="117">
        <v>-2000000</v>
      </c>
      <c r="M37" s="169" t="s">
        <v>1086</v>
      </c>
      <c r="N37" s="113">
        <f>65*P15</f>
        <v>250250000</v>
      </c>
      <c r="O37" s="96"/>
      <c r="P37" s="96"/>
      <c r="Q37" s="169">
        <v>0</v>
      </c>
      <c r="R37" s="169" t="s">
        <v>4175</v>
      </c>
      <c r="S37" s="169">
        <f>S50</f>
        <v>78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181</v>
      </c>
      <c r="AM37" s="113">
        <f t="shared" si="9"/>
        <v>181000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4481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/>
      <c r="L38" s="117"/>
      <c r="M38" s="169" t="s">
        <v>4484</v>
      </c>
      <c r="N38" s="113">
        <v>-20000000</v>
      </c>
      <c r="O38" s="96"/>
      <c r="P38" s="96"/>
      <c r="Q38" s="170">
        <v>1734776</v>
      </c>
      <c r="R38" s="169" t="s">
        <v>4453</v>
      </c>
      <c r="S38" s="169">
        <f>S37-59</f>
        <v>19</v>
      </c>
      <c r="T38" s="195" t="s">
        <v>4454</v>
      </c>
      <c r="U38" s="169">
        <v>188.8</v>
      </c>
      <c r="V38" s="169">
        <f>U38*(1+$N$80+$Q$15*S38/36500)</f>
        <v>193.66638465753425</v>
      </c>
      <c r="W38" s="32">
        <f>V38*(1+$W$19/100)</f>
        <v>197.53971235068494</v>
      </c>
      <c r="X38" s="32">
        <f>V38*(1+$X$19/100)</f>
        <v>201.41304004383562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180</v>
      </c>
      <c r="AM38" s="113">
        <f t="shared" si="9"/>
        <v>6049800000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/>
      <c r="L39" s="117"/>
      <c r="M39" s="169" t="s">
        <v>4485</v>
      </c>
      <c r="N39" s="113">
        <v>-50000000</v>
      </c>
      <c r="O39" s="96"/>
      <c r="P39" s="96"/>
      <c r="Q39" s="170">
        <v>1049300</v>
      </c>
      <c r="R39" s="169" t="s">
        <v>4468</v>
      </c>
      <c r="S39" s="169">
        <f>S38-4</f>
        <v>15</v>
      </c>
      <c r="T39" s="195" t="s">
        <v>4469</v>
      </c>
      <c r="U39" s="169">
        <v>184.6</v>
      </c>
      <c r="V39" s="169">
        <f>U39*(1+$N$80+$Q$15*S39/36500)</f>
        <v>188.79168438356166</v>
      </c>
      <c r="W39" s="32">
        <f>V39*(1+$W$19/100)</f>
        <v>192.56751807123288</v>
      </c>
      <c r="X39" s="32">
        <f>V39*(1+$X$19/100)</f>
        <v>196.34335175890413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176</v>
      </c>
      <c r="AM39" s="113">
        <f t="shared" si="9"/>
        <v>-2745600000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>
        <v>145929</v>
      </c>
      <c r="R40" s="169" t="s">
        <v>4472</v>
      </c>
      <c r="S40" s="203">
        <f>S39-2</f>
        <v>13</v>
      </c>
      <c r="T40" s="194" t="s">
        <v>4476</v>
      </c>
      <c r="U40" s="169">
        <v>365</v>
      </c>
      <c r="V40" s="169">
        <f>U40*(1+$N$80+$Q$15*S40/36500)</f>
        <v>372.72800000000001</v>
      </c>
      <c r="W40" s="32">
        <f>V40*(1+$W$19/100)</f>
        <v>380.18256000000002</v>
      </c>
      <c r="X40" s="32">
        <f>V40*(1+$X$19/100)</f>
        <v>387.63712000000004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173</v>
      </c>
      <c r="AM40" s="113">
        <f t="shared" si="9"/>
        <v>1297500000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/>
      <c r="L41" s="117"/>
      <c r="M41" s="169" t="s">
        <v>4503</v>
      </c>
      <c r="N41" s="113">
        <v>267896</v>
      </c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169</v>
      </c>
      <c r="AM41" s="113">
        <f t="shared" si="9"/>
        <v>-16562000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/>
      <c r="N42" s="113"/>
      <c r="O42" s="99"/>
      <c r="P42" s="99"/>
      <c r="Q42" s="113">
        <f>SUM(N28:N30)-SUM(Q37:Q40)</f>
        <v>-84014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168</v>
      </c>
      <c r="AM42" s="113">
        <f t="shared" si="9"/>
        <v>-4368000000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4487</v>
      </c>
      <c r="L43" s="117">
        <v>145929</v>
      </c>
      <c r="M43" s="32" t="s">
        <v>4410</v>
      </c>
      <c r="N43" s="113">
        <f t="shared" ref="N43:N51" si="13">O43*P43</f>
        <v>2023937.5</v>
      </c>
      <c r="O43" s="99">
        <v>611</v>
      </c>
      <c r="P43" s="99">
        <v>3312.5</v>
      </c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168</v>
      </c>
      <c r="AM43" s="113">
        <f t="shared" si="9"/>
        <v>4200000000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/>
      <c r="L44" s="117"/>
      <c r="M44" s="169" t="s">
        <v>4182</v>
      </c>
      <c r="N44" s="113">
        <f t="shared" si="13"/>
        <v>192507840</v>
      </c>
      <c r="O44" s="99">
        <v>1114050</v>
      </c>
      <c r="P44" s="99">
        <v>172.8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167</v>
      </c>
      <c r="AM44" s="113">
        <f t="shared" si="9"/>
        <v>18370000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/>
      <c r="L45" s="117"/>
      <c r="M45" s="169" t="s">
        <v>4529</v>
      </c>
      <c r="N45" s="113">
        <f t="shared" si="13"/>
        <v>798681.60000000009</v>
      </c>
      <c r="O45" s="99">
        <v>4622</v>
      </c>
      <c r="P45" s="99">
        <f>P44</f>
        <v>172.8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166</v>
      </c>
      <c r="AM45" s="113">
        <f t="shared" si="9"/>
        <v>63080000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4475</v>
      </c>
      <c r="N46" s="113">
        <f t="shared" si="13"/>
        <v>225148.6</v>
      </c>
      <c r="O46" s="99">
        <v>398</v>
      </c>
      <c r="P46" s="99">
        <v>565.70000000000005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159</v>
      </c>
      <c r="AM46" s="113">
        <f t="shared" si="9"/>
        <v>71550000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3"/>
        <v>8513564.7000000011</v>
      </c>
      <c r="O47" s="69">
        <v>29347</v>
      </c>
      <c r="P47" s="69">
        <v>290.10000000000002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153</v>
      </c>
      <c r="AM47" s="113">
        <f t="shared" si="9"/>
        <v>428400000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69" t="s">
        <v>4414</v>
      </c>
      <c r="N48" s="113">
        <f t="shared" si="13"/>
        <v>3514547.4</v>
      </c>
      <c r="O48" s="69">
        <v>767</v>
      </c>
      <c r="P48" s="69">
        <v>4582.2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152</v>
      </c>
      <c r="AM48" s="113">
        <f t="shared" si="9"/>
        <v>-228000000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3"/>
        <v>4529140.2</v>
      </c>
      <c r="O49" s="69">
        <v>10431</v>
      </c>
      <c r="P49" s="69">
        <v>434.2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v>2</v>
      </c>
      <c r="X49" s="32">
        <v>4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152</v>
      </c>
      <c r="AM49" s="113">
        <f t="shared" si="9"/>
        <v>463600000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 t="s">
        <v>4445</v>
      </c>
      <c r="N50" s="117">
        <f t="shared" si="13"/>
        <v>2348629.1999999997</v>
      </c>
      <c r="O50" s="69">
        <v>13077</v>
      </c>
      <c r="P50" s="69">
        <v>179.6</v>
      </c>
      <c r="Q50" s="170">
        <v>184971545</v>
      </c>
      <c r="R50" s="169" t="s">
        <v>4175</v>
      </c>
      <c r="S50" s="196">
        <v>78</v>
      </c>
      <c r="T50" s="169" t="s">
        <v>4363</v>
      </c>
      <c r="U50" s="169">
        <v>192</v>
      </c>
      <c r="V50" s="99">
        <f t="shared" ref="V50:V77" si="14">U50*(1+$N$80+$Q$15*S50/36500)</f>
        <v>205.6388383561644</v>
      </c>
      <c r="W50" s="32">
        <f t="shared" ref="W50:W77" si="15">V50*(1+$W$19/100)</f>
        <v>209.75161512328768</v>
      </c>
      <c r="X50" s="32">
        <f t="shared" ref="X50:X77" si="16">V50*(1+$X$19/100)</f>
        <v>213.86439189041099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149</v>
      </c>
      <c r="AM50" s="113">
        <f t="shared" si="9"/>
        <v>-1236642188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3"/>
        <v>15836000</v>
      </c>
      <c r="O51" s="69">
        <v>40</v>
      </c>
      <c r="P51" s="69">
        <v>395900</v>
      </c>
      <c r="Q51" s="170">
        <v>883646</v>
      </c>
      <c r="R51" s="169" t="s">
        <v>4264</v>
      </c>
      <c r="S51" s="196">
        <f>S50-21</f>
        <v>57</v>
      </c>
      <c r="T51" s="169" t="s">
        <v>4539</v>
      </c>
      <c r="U51" s="169">
        <v>190.3</v>
      </c>
      <c r="V51" s="99">
        <f t="shared" si="14"/>
        <v>200.75242301369863</v>
      </c>
      <c r="W51" s="32">
        <f t="shared" si="15"/>
        <v>204.76747147397262</v>
      </c>
      <c r="X51" s="32">
        <f t="shared" si="16"/>
        <v>208.78251993424658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147</v>
      </c>
      <c r="AM51" s="113">
        <f t="shared" si="9"/>
        <v>735000000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169" t="s">
        <v>1154</v>
      </c>
      <c r="N52" s="117">
        <v>14908</v>
      </c>
      <c r="O52" s="96" t="s">
        <v>25</v>
      </c>
      <c r="P52" t="s">
        <v>25</v>
      </c>
      <c r="Q52" s="170">
        <v>9560464</v>
      </c>
      <c r="R52" s="169" t="s">
        <v>4310</v>
      </c>
      <c r="S52" s="196">
        <f>S51-11</f>
        <v>46</v>
      </c>
      <c r="T52" s="169" t="s">
        <v>4327</v>
      </c>
      <c r="U52" s="169">
        <v>214.57</v>
      </c>
      <c r="V52" s="99">
        <f t="shared" si="14"/>
        <v>224.54485961643837</v>
      </c>
      <c r="W52" s="32">
        <f t="shared" si="15"/>
        <v>229.03575680876713</v>
      </c>
      <c r="X52" s="32">
        <f t="shared" si="16"/>
        <v>233.52665400109592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133</v>
      </c>
      <c r="AM52" s="113">
        <f t="shared" si="9"/>
        <v>-11970000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1155</v>
      </c>
      <c r="N53" s="117">
        <v>5282</v>
      </c>
      <c r="O53" s="96"/>
      <c r="Q53" s="170">
        <v>2000000</v>
      </c>
      <c r="R53" s="169" t="s">
        <v>4358</v>
      </c>
      <c r="S53" s="169">
        <f>S52-11</f>
        <v>35</v>
      </c>
      <c r="T53" s="169" t="s">
        <v>4362</v>
      </c>
      <c r="U53" s="169">
        <v>206.8</v>
      </c>
      <c r="V53" s="99">
        <f t="shared" si="14"/>
        <v>214.66859835616444</v>
      </c>
      <c r="W53" s="32">
        <f t="shared" si="15"/>
        <v>218.96197032328774</v>
      </c>
      <c r="X53" s="32">
        <f t="shared" si="16"/>
        <v>223.25534229041102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132</v>
      </c>
      <c r="AM53" s="113">
        <f t="shared" si="9"/>
        <v>739200000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1457531</v>
      </c>
      <c r="R54" s="169" t="s">
        <v>4393</v>
      </c>
      <c r="S54" s="196">
        <f>S53-6</f>
        <v>29</v>
      </c>
      <c r="T54" s="169" t="s">
        <v>4394</v>
      </c>
      <c r="U54" s="169">
        <v>310</v>
      </c>
      <c r="V54" s="99">
        <f t="shared" si="14"/>
        <v>320.3684383561644</v>
      </c>
      <c r="W54" s="32">
        <f t="shared" si="15"/>
        <v>326.77580712328768</v>
      </c>
      <c r="X54" s="32">
        <f t="shared" si="16"/>
        <v>333.18317589041101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128</v>
      </c>
      <c r="AM54" s="113">
        <f t="shared" si="9"/>
        <v>96000000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 t="s">
        <v>25</v>
      </c>
      <c r="L55" s="117"/>
      <c r="M55" s="169" t="s">
        <v>4183</v>
      </c>
      <c r="N55" s="113">
        <f>-O55*P55</f>
        <v>-14303174.4</v>
      </c>
      <c r="O55" s="99">
        <v>82773</v>
      </c>
      <c r="P55" s="99">
        <f>P44</f>
        <v>172.8</v>
      </c>
      <c r="Q55" s="170">
        <v>1429825</v>
      </c>
      <c r="R55" s="169" t="s">
        <v>4389</v>
      </c>
      <c r="S55" s="169">
        <f>S54-1</f>
        <v>28</v>
      </c>
      <c r="T55" s="169" t="s">
        <v>4399</v>
      </c>
      <c r="U55" s="169">
        <v>203.9</v>
      </c>
      <c r="V55" s="99">
        <f t="shared" si="14"/>
        <v>210.56334027397261</v>
      </c>
      <c r="W55" s="32">
        <f t="shared" si="15"/>
        <v>214.77460707945207</v>
      </c>
      <c r="X55" s="32">
        <f t="shared" si="16"/>
        <v>218.98587388493152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126</v>
      </c>
      <c r="AM55" s="171">
        <f t="shared" si="9"/>
        <v>-534492000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4389</v>
      </c>
      <c r="S56" s="169">
        <f>S55</f>
        <v>28</v>
      </c>
      <c r="T56" s="169" t="s">
        <v>4401</v>
      </c>
      <c r="U56" s="169">
        <v>203.1</v>
      </c>
      <c r="V56" s="99">
        <f t="shared" si="14"/>
        <v>209.73719671232877</v>
      </c>
      <c r="W56" s="32">
        <f t="shared" si="15"/>
        <v>213.93194064657536</v>
      </c>
      <c r="X56" s="32">
        <f t="shared" si="16"/>
        <v>218.12668458082192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124</v>
      </c>
      <c r="AM56" s="113">
        <f t="shared" si="9"/>
        <v>508400000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 t="s">
        <v>4471</v>
      </c>
      <c r="N57" s="113">
        <f>-S91</f>
        <v>-2275830.4149686466</v>
      </c>
      <c r="Q57" s="170">
        <v>2864946</v>
      </c>
      <c r="R57" s="169" t="s">
        <v>4389</v>
      </c>
      <c r="S57" s="198">
        <f>S56</f>
        <v>28</v>
      </c>
      <c r="T57" s="169" t="s">
        <v>4403</v>
      </c>
      <c r="U57" s="169">
        <v>303.60000000000002</v>
      </c>
      <c r="V57" s="99">
        <f t="shared" si="14"/>
        <v>313.52148164383567</v>
      </c>
      <c r="W57" s="32">
        <f t="shared" si="15"/>
        <v>319.79191127671237</v>
      </c>
      <c r="X57" s="32">
        <f t="shared" si="16"/>
        <v>326.06234090958912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124</v>
      </c>
      <c r="AM57" s="113">
        <f t="shared" si="9"/>
        <v>508400000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4489</v>
      </c>
      <c r="N58" s="113">
        <f>-S92</f>
        <v>-5008769.9911935357</v>
      </c>
      <c r="Q58" s="170">
        <v>2412371</v>
      </c>
      <c r="R58" s="169" t="s">
        <v>4391</v>
      </c>
      <c r="S58" s="169">
        <f>S57-1</f>
        <v>27</v>
      </c>
      <c r="T58" s="169" t="s">
        <v>4409</v>
      </c>
      <c r="U58" s="169">
        <v>3930</v>
      </c>
      <c r="V58" s="99">
        <f t="shared" si="14"/>
        <v>4055.4154520547954</v>
      </c>
      <c r="W58" s="32">
        <f t="shared" si="15"/>
        <v>4136.5237610958911</v>
      </c>
      <c r="X58" s="32">
        <f t="shared" si="16"/>
        <v>4217.6320701369877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123</v>
      </c>
      <c r="AM58" s="113">
        <f t="shared" si="9"/>
        <v>97170000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2010885</v>
      </c>
      <c r="R59" s="169" t="s">
        <v>4412</v>
      </c>
      <c r="S59" s="169">
        <f>S58-2</f>
        <v>25</v>
      </c>
      <c r="T59" s="169" t="s">
        <v>4418</v>
      </c>
      <c r="U59" s="169">
        <v>202.1</v>
      </c>
      <c r="V59" s="99">
        <f t="shared" si="14"/>
        <v>208.23941041095893</v>
      </c>
      <c r="W59" s="32">
        <f t="shared" si="15"/>
        <v>212.40419861917812</v>
      </c>
      <c r="X59" s="32">
        <f t="shared" si="16"/>
        <v>216.56898682739728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108</v>
      </c>
      <c r="AM59" s="173">
        <f t="shared" si="9"/>
        <v>-417420000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22</v>
      </c>
      <c r="T60" s="169" t="s">
        <v>4442</v>
      </c>
      <c r="U60" s="169">
        <v>5560.3</v>
      </c>
      <c r="V60" s="99">
        <f t="shared" si="14"/>
        <v>5716.4149435616446</v>
      </c>
      <c r="W60" s="32">
        <f t="shared" si="15"/>
        <v>5830.7432424328772</v>
      </c>
      <c r="X60" s="32">
        <f t="shared" si="16"/>
        <v>5945.0715413041107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102</v>
      </c>
      <c r="AM60" s="113">
        <f t="shared" si="9"/>
        <v>1917600000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 t="s">
        <v>598</v>
      </c>
      <c r="L61" s="113">
        <f>SUM(L16:L48)</f>
        <v>266709680.61962789</v>
      </c>
      <c r="M61" s="169"/>
      <c r="N61" s="113">
        <f>SUM(N16:N57)</f>
        <v>351045574.06540346</v>
      </c>
      <c r="Q61" s="170">
        <v>4629290</v>
      </c>
      <c r="R61" s="169" t="s">
        <v>4423</v>
      </c>
      <c r="S61" s="198">
        <f>S60</f>
        <v>22</v>
      </c>
      <c r="T61" s="169" t="s">
        <v>4431</v>
      </c>
      <c r="U61" s="169">
        <v>441.8</v>
      </c>
      <c r="V61" s="99">
        <f t="shared" si="14"/>
        <v>454.20429150684942</v>
      </c>
      <c r="W61" s="32">
        <f t="shared" si="15"/>
        <v>463.2883773369864</v>
      </c>
      <c r="X61" s="32">
        <f t="shared" si="16"/>
        <v>472.37246316712339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99</v>
      </c>
      <c r="AM61" s="113">
        <f t="shared" si="9"/>
        <v>49500000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599</v>
      </c>
      <c r="L62" s="113">
        <f>L16+L17+L23</f>
        <v>24202</v>
      </c>
      <c r="M62" s="169"/>
      <c r="N62" s="113">
        <f>N16+N17+N34</f>
        <v>2031506</v>
      </c>
      <c r="Q62" s="170">
        <v>4489908</v>
      </c>
      <c r="R62" s="169" t="s">
        <v>4423</v>
      </c>
      <c r="S62" s="169">
        <f>S61</f>
        <v>22</v>
      </c>
      <c r="T62" s="169" t="s">
        <v>4429</v>
      </c>
      <c r="U62" s="169">
        <v>292.60000000000002</v>
      </c>
      <c r="V62" s="99">
        <f t="shared" si="14"/>
        <v>300.81524602739734</v>
      </c>
      <c r="W62" s="32">
        <f t="shared" si="15"/>
        <v>306.83155094794529</v>
      </c>
      <c r="X62" s="32">
        <f t="shared" si="16"/>
        <v>312.84785586849324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98</v>
      </c>
      <c r="AM62" s="113">
        <f t="shared" si="9"/>
        <v>19600000</v>
      </c>
      <c r="AN62" s="20"/>
    </row>
    <row r="63" spans="1:40">
      <c r="E63" s="26"/>
      <c r="K63" s="56" t="s">
        <v>716</v>
      </c>
      <c r="L63" s="1">
        <f>L61+N7</f>
        <v>336709680.61962789</v>
      </c>
      <c r="M63" s="113"/>
      <c r="N63" s="169"/>
      <c r="O63" s="115"/>
      <c r="P63" s="115"/>
      <c r="Q63" s="170">
        <v>1971103</v>
      </c>
      <c r="R63" s="169" t="s">
        <v>4437</v>
      </c>
      <c r="S63" s="169">
        <f>S62-1</f>
        <v>21</v>
      </c>
      <c r="T63" s="169" t="s">
        <v>4438</v>
      </c>
      <c r="U63" s="169">
        <v>196.2</v>
      </c>
      <c r="V63" s="99">
        <f t="shared" si="14"/>
        <v>201.55814136986302</v>
      </c>
      <c r="W63" s="32">
        <f t="shared" si="15"/>
        <v>205.58930419726028</v>
      </c>
      <c r="X63" s="32">
        <f t="shared" si="16"/>
        <v>209.62046702465756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95</v>
      </c>
      <c r="AM63" s="113">
        <f t="shared" si="9"/>
        <v>95000000</v>
      </c>
      <c r="AN63" s="20"/>
    </row>
    <row r="64" spans="1:40">
      <c r="E64" s="26"/>
      <c r="O64" s="96"/>
      <c r="P64" s="96"/>
      <c r="Q64" s="170">
        <v>1000913</v>
      </c>
      <c r="R64" s="169" t="s">
        <v>4439</v>
      </c>
      <c r="S64" s="169">
        <f>S63-1</f>
        <v>20</v>
      </c>
      <c r="T64" s="169" t="s">
        <v>4444</v>
      </c>
      <c r="U64" s="169">
        <v>191.3</v>
      </c>
      <c r="V64" s="99">
        <f t="shared" si="14"/>
        <v>196.37757369863019</v>
      </c>
      <c r="W64" s="32">
        <f t="shared" si="15"/>
        <v>200.3051251726028</v>
      </c>
      <c r="X64" s="32">
        <f t="shared" si="16"/>
        <v>204.23267664657541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92</v>
      </c>
      <c r="AM64" s="113">
        <f t="shared" si="9"/>
        <v>119600000</v>
      </c>
      <c r="AN64" s="20"/>
    </row>
    <row r="65" spans="1:40">
      <c r="M65" s="25"/>
      <c r="O65" t="s">
        <v>25</v>
      </c>
      <c r="Q65" s="170">
        <v>157443</v>
      </c>
      <c r="R65" s="169" t="s">
        <v>4439</v>
      </c>
      <c r="S65" s="169">
        <f>S64</f>
        <v>20</v>
      </c>
      <c r="T65" s="169" t="s">
        <v>4456</v>
      </c>
      <c r="U65" s="169">
        <v>189.5</v>
      </c>
      <c r="V65" s="99">
        <f t="shared" si="14"/>
        <v>194.52979726027399</v>
      </c>
      <c r="W65" s="32">
        <f t="shared" si="15"/>
        <v>198.42039320547948</v>
      </c>
      <c r="X65" s="32">
        <f t="shared" si="16"/>
        <v>202.31098915068497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92</v>
      </c>
      <c r="AM65" s="113">
        <f t="shared" si="9"/>
        <v>91540000</v>
      </c>
      <c r="AN65" s="20"/>
    </row>
    <row r="66" spans="1:40">
      <c r="M66" s="25" t="s">
        <v>4083</v>
      </c>
      <c r="P66" t="s">
        <v>25</v>
      </c>
      <c r="Q66" s="170">
        <v>1330173</v>
      </c>
      <c r="R66" s="169" t="s">
        <v>4459</v>
      </c>
      <c r="S66" s="169">
        <f>S65-2</f>
        <v>18</v>
      </c>
      <c r="T66" s="169" t="s">
        <v>4460</v>
      </c>
      <c r="U66" s="169">
        <v>188.1</v>
      </c>
      <c r="V66" s="99">
        <f t="shared" si="14"/>
        <v>192.80404602739728</v>
      </c>
      <c r="W66" s="32">
        <f t="shared" si="15"/>
        <v>196.66012694794523</v>
      </c>
      <c r="X66" s="32">
        <f t="shared" si="16"/>
        <v>200.51620786849318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90</v>
      </c>
      <c r="AM66" s="113">
        <f t="shared" si="9"/>
        <v>1170000000</v>
      </c>
      <c r="AN66" s="20"/>
    </row>
    <row r="67" spans="1:40">
      <c r="A67" t="s">
        <v>25</v>
      </c>
      <c r="F67" t="s">
        <v>310</v>
      </c>
      <c r="G67" t="s">
        <v>4102</v>
      </c>
      <c r="M67" s="178"/>
      <c r="O67" s="22"/>
      <c r="Q67" s="170">
        <v>1049856</v>
      </c>
      <c r="R67" s="169" t="s">
        <v>4468</v>
      </c>
      <c r="S67" s="204">
        <f>S66-3</f>
        <v>15</v>
      </c>
      <c r="T67" s="169" t="s">
        <v>4521</v>
      </c>
      <c r="U67" s="169">
        <v>184.5</v>
      </c>
      <c r="V67" s="99">
        <f t="shared" si="14"/>
        <v>188.68941369863015</v>
      </c>
      <c r="W67" s="32">
        <f t="shared" si="15"/>
        <v>192.46320197260275</v>
      </c>
      <c r="X67" s="32">
        <f t="shared" si="16"/>
        <v>196.23699024657537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88</v>
      </c>
      <c r="AM67" s="113">
        <f t="shared" si="9"/>
        <v>-272800000</v>
      </c>
      <c r="AN67" s="20"/>
    </row>
    <row r="68" spans="1:40">
      <c r="F68" t="s">
        <v>4106</v>
      </c>
      <c r="G68" t="s">
        <v>4101</v>
      </c>
      <c r="M68" s="122"/>
      <c r="O68" t="s">
        <v>25</v>
      </c>
      <c r="P68" t="s">
        <v>25</v>
      </c>
      <c r="Q68" s="170">
        <v>1783234</v>
      </c>
      <c r="R68" s="169" t="s">
        <v>4472</v>
      </c>
      <c r="S68" s="169">
        <f>S67-2</f>
        <v>13</v>
      </c>
      <c r="T68" s="169" t="s">
        <v>4478</v>
      </c>
      <c r="U68" s="169">
        <v>177.5</v>
      </c>
      <c r="V68" s="99">
        <f t="shared" si="14"/>
        <v>181.25813698630139</v>
      </c>
      <c r="W68" s="32">
        <f t="shared" si="15"/>
        <v>184.88329972602742</v>
      </c>
      <c r="X68" s="32">
        <f t="shared" si="16"/>
        <v>188.50846246575347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85</v>
      </c>
      <c r="AM68" s="113">
        <f t="shared" si="9"/>
        <v>3879400000</v>
      </c>
      <c r="AN68" s="20"/>
    </row>
    <row r="69" spans="1:40">
      <c r="F69" t="s">
        <v>4107</v>
      </c>
      <c r="G69" t="s">
        <v>4103</v>
      </c>
      <c r="M69" s="122" t="s">
        <v>4432</v>
      </c>
      <c r="O69" s="114"/>
      <c r="Q69" s="170">
        <v>1904396</v>
      </c>
      <c r="R69" s="169" t="s">
        <v>4472</v>
      </c>
      <c r="S69" s="203">
        <f>S68</f>
        <v>13</v>
      </c>
      <c r="T69" s="169" t="s">
        <v>4483</v>
      </c>
      <c r="U69" s="169">
        <v>4861</v>
      </c>
      <c r="V69" s="99">
        <f t="shared" si="14"/>
        <v>4963.9200219178083</v>
      </c>
      <c r="W69" s="32">
        <f t="shared" si="15"/>
        <v>5063.1984223561649</v>
      </c>
      <c r="X69" s="32">
        <f t="shared" si="16"/>
        <v>5162.4768227945206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84</v>
      </c>
      <c r="AM69" s="113">
        <f t="shared" si="9"/>
        <v>2814000000</v>
      </c>
      <c r="AN69" s="20"/>
    </row>
    <row r="70" spans="1:40">
      <c r="G70" t="s">
        <v>4104</v>
      </c>
      <c r="M70" s="122" t="s">
        <v>4488</v>
      </c>
      <c r="N70" s="96"/>
      <c r="Q70" s="170">
        <v>145929</v>
      </c>
      <c r="R70" s="169" t="s">
        <v>4472</v>
      </c>
      <c r="S70" s="203">
        <f>S69</f>
        <v>13</v>
      </c>
      <c r="T70" s="169" t="s">
        <v>4476</v>
      </c>
      <c r="U70" s="169">
        <v>365</v>
      </c>
      <c r="V70" s="99">
        <f t="shared" si="14"/>
        <v>372.72800000000001</v>
      </c>
      <c r="W70" s="32">
        <f t="shared" si="15"/>
        <v>380.18256000000002</v>
      </c>
      <c r="X70" s="32">
        <f t="shared" si="16"/>
        <v>387.63712000000004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83</v>
      </c>
      <c r="AM70" s="117">
        <f t="shared" si="9"/>
        <v>996000000</v>
      </c>
      <c r="AN70" s="20"/>
    </row>
    <row r="71" spans="1:40">
      <c r="G71" t="s">
        <v>4105</v>
      </c>
      <c r="M71" s="122" t="s">
        <v>4549</v>
      </c>
      <c r="N71" s="96"/>
      <c r="P71" t="s">
        <v>25</v>
      </c>
      <c r="Q71" s="170">
        <v>1826179</v>
      </c>
      <c r="R71" s="169" t="s">
        <v>4481</v>
      </c>
      <c r="S71" s="203">
        <f>S70-5</f>
        <v>8</v>
      </c>
      <c r="T71" s="73" t="s">
        <v>4530</v>
      </c>
      <c r="U71" s="169">
        <v>190.3</v>
      </c>
      <c r="V71" s="99">
        <f t="shared" si="14"/>
        <v>193.59922849315072</v>
      </c>
      <c r="W71" s="32">
        <f t="shared" si="15"/>
        <v>197.47121306301375</v>
      </c>
      <c r="X71" s="32">
        <f t="shared" si="16"/>
        <v>201.34319763287675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82</v>
      </c>
      <c r="AM71" s="117">
        <f t="shared" si="9"/>
        <v>1271000000</v>
      </c>
      <c r="AN71" s="20"/>
    </row>
    <row r="72" spans="1:40">
      <c r="G72" t="s">
        <v>4109</v>
      </c>
      <c r="M72" s="122" t="s">
        <v>4551</v>
      </c>
      <c r="N72" s="96"/>
      <c r="P72" s="115"/>
      <c r="Q72" s="170">
        <v>1049976</v>
      </c>
      <c r="R72" s="169" t="s">
        <v>4481</v>
      </c>
      <c r="S72" s="203">
        <f>S71</f>
        <v>8</v>
      </c>
      <c r="T72" s="73" t="s">
        <v>4540</v>
      </c>
      <c r="U72" s="169">
        <v>190.3</v>
      </c>
      <c r="V72" s="99">
        <f t="shared" si="14"/>
        <v>193.59922849315072</v>
      </c>
      <c r="W72" s="32">
        <f t="shared" si="15"/>
        <v>197.47121306301375</v>
      </c>
      <c r="X72" s="32">
        <f t="shared" si="16"/>
        <v>201.34319763287675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78</v>
      </c>
      <c r="AM72" s="117">
        <f t="shared" si="9"/>
        <v>11700000</v>
      </c>
      <c r="AN72" s="20"/>
    </row>
    <row r="73" spans="1:40">
      <c r="G73" t="s">
        <v>4108</v>
      </c>
      <c r="M73" s="96"/>
      <c r="N73" s="96"/>
      <c r="P73" s="115" t="s">
        <v>25</v>
      </c>
      <c r="Q73" s="170">
        <v>3969956</v>
      </c>
      <c r="R73" s="169" t="s">
        <v>4541</v>
      </c>
      <c r="S73" s="169">
        <f>S72-2</f>
        <v>6</v>
      </c>
      <c r="T73" s="73" t="s">
        <v>4542</v>
      </c>
      <c r="U73" s="169">
        <v>396500</v>
      </c>
      <c r="V73" s="99">
        <f t="shared" si="14"/>
        <v>402765.7863013699</v>
      </c>
      <c r="W73" s="32">
        <f t="shared" si="15"/>
        <v>410821.10202739731</v>
      </c>
      <c r="X73" s="32">
        <f t="shared" si="16"/>
        <v>418876.41775342473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77</v>
      </c>
      <c r="AM73" s="182">
        <f t="shared" si="9"/>
        <v>2233000000</v>
      </c>
      <c r="AN73" s="181" t="s">
        <v>4189</v>
      </c>
    </row>
    <row r="74" spans="1:40">
      <c r="M74" s="96">
        <f>O44+O45+O21+O28-O55</f>
        <v>1106305</v>
      </c>
      <c r="N74" s="113">
        <f>M74*P44</f>
        <v>191169504</v>
      </c>
      <c r="O74" t="s">
        <v>25</v>
      </c>
      <c r="P74" s="115"/>
      <c r="Q74" s="170">
        <v>3894862</v>
      </c>
      <c r="R74" s="169" t="s">
        <v>4550</v>
      </c>
      <c r="S74" s="169">
        <f>S73-2</f>
        <v>4</v>
      </c>
      <c r="T74" s="73" t="s">
        <v>4558</v>
      </c>
      <c r="U74" s="169">
        <v>389000</v>
      </c>
      <c r="V74" s="99">
        <f t="shared" si="14"/>
        <v>394550.44383561652</v>
      </c>
      <c r="W74" s="32">
        <f t="shared" si="15"/>
        <v>402441.45271232887</v>
      </c>
      <c r="X74" s="32">
        <f t="shared" si="16"/>
        <v>410332.46158904117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62</v>
      </c>
      <c r="AM74" s="117">
        <f t="shared" si="9"/>
        <v>-8060000</v>
      </c>
      <c r="AN74" s="20" t="s">
        <v>4215</v>
      </c>
    </row>
    <row r="75" spans="1:40">
      <c r="M75" t="s">
        <v>4278</v>
      </c>
      <c r="N75" t="s">
        <v>4275</v>
      </c>
      <c r="P75" s="115"/>
      <c r="Q75" s="170">
        <v>5881743</v>
      </c>
      <c r="R75" s="169" t="s">
        <v>4557</v>
      </c>
      <c r="S75" s="169">
        <f>S74-3</f>
        <v>1</v>
      </c>
      <c r="T75" s="73" t="s">
        <v>4564</v>
      </c>
      <c r="U75" s="169">
        <v>172.2</v>
      </c>
      <c r="V75" s="99">
        <f t="shared" si="14"/>
        <v>174.26073863013698</v>
      </c>
      <c r="W75" s="32">
        <f t="shared" si="15"/>
        <v>177.74595340273973</v>
      </c>
      <c r="X75" s="32">
        <f t="shared" si="16"/>
        <v>181.23116817534248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55</v>
      </c>
      <c r="AM75" s="117">
        <f>AJ75*AL75</f>
        <v>12760000</v>
      </c>
      <c r="AN75" s="20" t="s">
        <v>4270</v>
      </c>
    </row>
    <row r="76" spans="1:40">
      <c r="D76" s="3"/>
      <c r="E76" s="11" t="s">
        <v>304</v>
      </c>
      <c r="N76" t="s">
        <v>25</v>
      </c>
      <c r="P76" s="115"/>
      <c r="Q76" s="170">
        <v>4025024</v>
      </c>
      <c r="R76" s="169" t="s">
        <v>4557</v>
      </c>
      <c r="S76" s="169">
        <f>S75</f>
        <v>1</v>
      </c>
      <c r="T76" s="73" t="s">
        <v>4562</v>
      </c>
      <c r="U76" s="169">
        <v>402000</v>
      </c>
      <c r="V76" s="99">
        <f t="shared" si="14"/>
        <v>406810.78356164385</v>
      </c>
      <c r="W76" s="32">
        <f t="shared" si="15"/>
        <v>414946.99923287675</v>
      </c>
      <c r="X76" s="32">
        <f t="shared" si="16"/>
        <v>423083.2149041096</v>
      </c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53</v>
      </c>
      <c r="AM76" s="117">
        <f t="shared" si="9"/>
        <v>-9010000</v>
      </c>
      <c r="AN76" s="20"/>
    </row>
    <row r="77" spans="1:40">
      <c r="D77" s="1" t="s">
        <v>305</v>
      </c>
      <c r="E77" s="1">
        <v>70000</v>
      </c>
      <c r="P77" s="115"/>
      <c r="Q77" s="170">
        <v>3919893</v>
      </c>
      <c r="R77" s="169" t="s">
        <v>4560</v>
      </c>
      <c r="S77" s="169">
        <f>S76-1</f>
        <v>0</v>
      </c>
      <c r="T77" s="73" t="s">
        <v>4561</v>
      </c>
      <c r="U77" s="169">
        <v>391500</v>
      </c>
      <c r="V77" s="99">
        <f t="shared" si="14"/>
        <v>395884.80000000005</v>
      </c>
      <c r="W77" s="32">
        <f t="shared" si="15"/>
        <v>403802.49600000004</v>
      </c>
      <c r="X77" s="32">
        <f t="shared" si="16"/>
        <v>411720.19200000004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50</v>
      </c>
      <c r="AM77" s="117">
        <f t="shared" si="9"/>
        <v>-15000000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170"/>
      <c r="R78" s="169"/>
      <c r="S78" s="169"/>
      <c r="T78" s="169"/>
      <c r="U78" s="169"/>
      <c r="V78" s="99" t="s">
        <v>25</v>
      </c>
      <c r="W78" s="32"/>
      <c r="X78" s="32"/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47</v>
      </c>
      <c r="AM78" s="117">
        <f t="shared" si="9"/>
        <v>-535800000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Q79" s="113">
        <f>SUM(N43:N51)-SUM(Q50:Q78)</f>
        <v>-23738386.800000042</v>
      </c>
      <c r="R79" s="112"/>
      <c r="S79" s="112"/>
      <c r="T79" s="112"/>
      <c r="U79" s="169"/>
      <c r="V79" s="99" t="s">
        <v>25</v>
      </c>
      <c r="W79" s="32"/>
      <c r="X79" s="32"/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34</v>
      </c>
      <c r="AM79" s="117">
        <f>AJ79*AL79</f>
        <v>-340000000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6</v>
      </c>
      <c r="N80">
        <f>N78+N79</f>
        <v>1.12E-2</v>
      </c>
      <c r="P80" s="115"/>
      <c r="Q80" s="26"/>
      <c r="R80" s="185"/>
      <c r="S80" s="185"/>
      <c r="T80" t="s">
        <v>25</v>
      </c>
      <c r="U80" s="96" t="s">
        <v>25</v>
      </c>
      <c r="V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33</v>
      </c>
      <c r="AM80" s="117">
        <f>AJ80*AL80</f>
        <v>-80850000</v>
      </c>
      <c r="AN80" s="20"/>
    </row>
    <row r="81" spans="4:52">
      <c r="D81" s="31" t="s">
        <v>308</v>
      </c>
      <c r="E81" s="1">
        <v>300000</v>
      </c>
      <c r="O81" t="s">
        <v>25</v>
      </c>
      <c r="P81" t="s">
        <v>25</v>
      </c>
      <c r="R81" t="s">
        <v>25</v>
      </c>
      <c r="T81" t="s">
        <v>25</v>
      </c>
      <c r="U81" s="96" t="s">
        <v>25</v>
      </c>
      <c r="V81" s="96" t="s">
        <v>25</v>
      </c>
      <c r="W81" s="96" t="s">
        <v>25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28</v>
      </c>
      <c r="AM81" s="117">
        <f t="shared" si="9"/>
        <v>-12770268</v>
      </c>
      <c r="AN81" s="20"/>
      <c r="AS81" s="96"/>
      <c r="AU81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Q82" t="s">
        <v>25</v>
      </c>
      <c r="R82" t="s">
        <v>25</v>
      </c>
      <c r="T82" t="s">
        <v>25</v>
      </c>
      <c r="U82" s="96" t="s">
        <v>25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27</v>
      </c>
      <c r="AM82" s="117">
        <f t="shared" si="9"/>
        <v>-13500000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Q83" t="s">
        <v>25</v>
      </c>
      <c r="S83" t="s">
        <v>25</v>
      </c>
      <c r="T83" t="s">
        <v>25</v>
      </c>
      <c r="U83" s="96" t="s">
        <v>25</v>
      </c>
      <c r="W83" s="96" t="s">
        <v>25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25</v>
      </c>
      <c r="AM83" s="117">
        <f t="shared" si="9"/>
        <v>-155859250</v>
      </c>
      <c r="AN83" s="20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V84" s="96"/>
      <c r="W84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22</v>
      </c>
      <c r="AM84" s="117">
        <f t="shared" si="9"/>
        <v>42921054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7" t="s">
        <v>558</v>
      </c>
      <c r="M85" s="199"/>
      <c r="P85" t="s">
        <v>25</v>
      </c>
      <c r="V85" s="96"/>
      <c r="W8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18</v>
      </c>
      <c r="AM85" s="117">
        <f t="shared" si="9"/>
        <v>10800000</v>
      </c>
      <c r="AN85" s="20"/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Q86" s="99" t="s">
        <v>4507</v>
      </c>
      <c r="R86" s="99" t="s">
        <v>4509</v>
      </c>
      <c r="S86" s="99"/>
      <c r="T86" s="99" t="s">
        <v>4510</v>
      </c>
      <c r="U86" s="99"/>
      <c r="V86" s="99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4472</v>
      </c>
      <c r="AJ86" s="117">
        <v>7500000</v>
      </c>
      <c r="AK86" s="20">
        <v>2</v>
      </c>
      <c r="AL86" s="99">
        <f t="shared" si="17"/>
        <v>13</v>
      </c>
      <c r="AM86" s="117">
        <f t="shared" si="9"/>
        <v>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Q87" s="113">
        <v>1000</v>
      </c>
      <c r="R87" s="99">
        <v>0.25</v>
      </c>
      <c r="S87" s="99"/>
      <c r="T87" s="99">
        <f>1-R87</f>
        <v>0.75</v>
      </c>
      <c r="U87" s="99"/>
      <c r="V87" s="99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4482</v>
      </c>
      <c r="AJ87" s="117">
        <v>-587816</v>
      </c>
      <c r="AK87" s="20">
        <v>3</v>
      </c>
      <c r="AL87" s="99">
        <f t="shared" si="17"/>
        <v>11</v>
      </c>
      <c r="AM87" s="117">
        <f t="shared" si="9"/>
        <v>-6465976</v>
      </c>
      <c r="AN87" s="20"/>
      <c r="AV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 t="s">
        <v>4493</v>
      </c>
      <c r="R88" s="169" t="s">
        <v>4512</v>
      </c>
      <c r="S88" s="169" t="s">
        <v>4514</v>
      </c>
      <c r="T88" s="169" t="s">
        <v>180</v>
      </c>
      <c r="U88" s="169" t="s">
        <v>4508</v>
      </c>
      <c r="V88" s="56" t="s">
        <v>4511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4481</v>
      </c>
      <c r="AJ88" s="117">
        <v>-907489</v>
      </c>
      <c r="AK88" s="20">
        <v>0</v>
      </c>
      <c r="AL88" s="99">
        <f>AL89+AK88</f>
        <v>8</v>
      </c>
      <c r="AM88" s="117">
        <f t="shared" si="9"/>
        <v>-7259912</v>
      </c>
      <c r="AN88" s="20"/>
      <c r="AP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L89" s="99"/>
      <c r="M89" s="208" t="s">
        <v>4465</v>
      </c>
      <c r="N89" s="169" t="s">
        <v>4311</v>
      </c>
      <c r="O89" s="169" t="s">
        <v>180</v>
      </c>
      <c r="Q89" s="169" t="s">
        <v>751</v>
      </c>
      <c r="R89" s="56">
        <v>720930</v>
      </c>
      <c r="S89" s="113">
        <f>R89*$T$115</f>
        <v>175102926.47420987</v>
      </c>
      <c r="T89" s="169" t="s">
        <v>4506</v>
      </c>
      <c r="U89" s="169">
        <f>$Q$87*$T$87*S89/$R$113</f>
        <v>505.96455143747187</v>
      </c>
      <c r="V89" s="95">
        <f>S89+U89</f>
        <v>175103432.43876132</v>
      </c>
      <c r="X89" s="163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4481</v>
      </c>
      <c r="AJ89" s="117">
        <v>2450000</v>
      </c>
      <c r="AK89" s="20">
        <v>1</v>
      </c>
      <c r="AL89" s="99">
        <f t="shared" si="17"/>
        <v>8</v>
      </c>
      <c r="AM89" s="117">
        <f t="shared" si="9"/>
        <v>19600000</v>
      </c>
      <c r="AN89" s="20" t="s">
        <v>4527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L90" s="99" t="s">
        <v>4247</v>
      </c>
      <c r="M90" s="209">
        <v>1705</v>
      </c>
      <c r="N90" s="170">
        <v>1759</v>
      </c>
      <c r="O90" s="99" t="s">
        <v>4557</v>
      </c>
      <c r="Q90" s="169" t="s">
        <v>4495</v>
      </c>
      <c r="R90" s="56">
        <v>317725</v>
      </c>
      <c r="S90" s="113">
        <f>R90*$T$115</f>
        <v>77170567.619627878</v>
      </c>
      <c r="T90" s="169" t="s">
        <v>4506</v>
      </c>
      <c r="U90" s="169">
        <f>$Q$87*$T$87*S90/$R$113+Q87*R87</f>
        <v>472.9864024322344</v>
      </c>
      <c r="V90" s="95">
        <f>S90+U90</f>
        <v>77171040.606030315</v>
      </c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4531</v>
      </c>
      <c r="AJ90" s="117">
        <v>1500000</v>
      </c>
      <c r="AK90" s="20">
        <v>1</v>
      </c>
      <c r="AL90" s="99">
        <f t="shared" si="17"/>
        <v>7</v>
      </c>
      <c r="AM90" s="117">
        <f t="shared" si="9"/>
        <v>10500000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L91" s="99" t="s">
        <v>1086</v>
      </c>
      <c r="M91" s="209">
        <v>3815000</v>
      </c>
      <c r="N91" s="170">
        <v>4015000</v>
      </c>
      <c r="O91" s="99" t="s">
        <v>4557</v>
      </c>
      <c r="Q91" s="169" t="s">
        <v>1087</v>
      </c>
      <c r="R91" s="56">
        <v>9370</v>
      </c>
      <c r="S91" s="113">
        <f>R91*$T$115</f>
        <v>2275830.4149686466</v>
      </c>
      <c r="T91" s="169" t="s">
        <v>4506</v>
      </c>
      <c r="U91" s="169">
        <f>$Q$87*$T$87*S91/$R$113</f>
        <v>6.5760723606579159</v>
      </c>
      <c r="V91" s="95">
        <f>S91+U91</f>
        <v>2275836.9910410075</v>
      </c>
      <c r="X91" s="115"/>
      <c r="Y91" s="115"/>
      <c r="Z91" s="115"/>
      <c r="AA91" s="115"/>
      <c r="AE91"/>
      <c r="AG91" s="96"/>
      <c r="AH91" s="20">
        <v>71</v>
      </c>
      <c r="AI91" s="117" t="s">
        <v>4541</v>
      </c>
      <c r="AJ91" s="117">
        <v>2648000</v>
      </c>
      <c r="AK91" s="20">
        <v>1</v>
      </c>
      <c r="AL91" s="99">
        <f t="shared" si="17"/>
        <v>6</v>
      </c>
      <c r="AM91" s="117">
        <f t="shared" si="9"/>
        <v>15888000</v>
      </c>
      <c r="AN91" s="20" t="s">
        <v>4543</v>
      </c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L92" s="99"/>
      <c r="M92" s="209"/>
      <c r="N92" s="170"/>
      <c r="O92" s="99"/>
      <c r="Q92" s="169" t="s">
        <v>4494</v>
      </c>
      <c r="R92" s="56">
        <v>20622</v>
      </c>
      <c r="S92" s="113">
        <f>R92*$T$115</f>
        <v>5008769.9911935357</v>
      </c>
      <c r="T92" s="169" t="s">
        <v>4506</v>
      </c>
      <c r="U92" s="169">
        <f>$Q$87*$T$87*S92/$R$113</f>
        <v>14.472973769635809</v>
      </c>
      <c r="V92" s="95">
        <f>S92+U92</f>
        <v>5008784.4641673053</v>
      </c>
      <c r="X92" s="115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17"/>
        <v>5</v>
      </c>
      <c r="AM92" s="117">
        <f t="shared" si="9"/>
        <v>3075000</v>
      </c>
      <c r="AN92" s="20"/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L93" s="99"/>
      <c r="M93" s="209"/>
      <c r="N93" s="170"/>
      <c r="O93" s="99"/>
      <c r="P93" s="115"/>
      <c r="Q93" s="169"/>
      <c r="R93" s="56"/>
      <c r="S93" s="169"/>
      <c r="T93" s="169"/>
      <c r="U93" s="169"/>
      <c r="V93" s="99"/>
      <c r="X93" s="115"/>
      <c r="Y93" s="115"/>
      <c r="Z93" s="115"/>
      <c r="AA93" s="115"/>
      <c r="AE93"/>
      <c r="AG93" s="96"/>
      <c r="AH93" s="20">
        <v>73</v>
      </c>
      <c r="AI93" s="117" t="s">
        <v>4557</v>
      </c>
      <c r="AJ93" s="117">
        <v>14000000</v>
      </c>
      <c r="AK93" s="20">
        <v>1</v>
      </c>
      <c r="AL93" s="99">
        <f>AL94+AK93</f>
        <v>1</v>
      </c>
      <c r="AM93" s="117">
        <f t="shared" si="9"/>
        <v>14000000</v>
      </c>
      <c r="AN93" s="20"/>
      <c r="AT93" s="96" t="s">
        <v>25</v>
      </c>
    </row>
    <row r="94" spans="4:52">
      <c r="D94" s="32" t="s">
        <v>322</v>
      </c>
      <c r="E94" s="1">
        <v>150000</v>
      </c>
      <c r="G94" s="47"/>
      <c r="H94" s="48" t="s">
        <v>25</v>
      </c>
      <c r="L94" s="99"/>
      <c r="M94" s="209"/>
      <c r="N94" s="170"/>
      <c r="O94" s="99"/>
      <c r="P94" s="128"/>
      <c r="Q94" s="169"/>
      <c r="R94" s="56"/>
      <c r="S94" s="169"/>
      <c r="T94" s="169"/>
      <c r="U94" s="169"/>
      <c r="V94" s="169"/>
      <c r="W94" s="115" t="s">
        <v>25</v>
      </c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L95" s="99"/>
      <c r="M95" s="209"/>
      <c r="N95" s="170"/>
      <c r="O95" s="99"/>
      <c r="P95" s="128"/>
      <c r="Q95" s="169"/>
      <c r="R95" s="169"/>
      <c r="S95" s="169"/>
      <c r="T95" s="169"/>
      <c r="U95" s="169"/>
      <c r="V95" s="16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L96" s="99"/>
      <c r="M96" s="209"/>
      <c r="N96" s="170"/>
      <c r="O96" s="99"/>
      <c r="P96" s="115"/>
      <c r="Q96" s="99"/>
      <c r="R96" s="99"/>
      <c r="S96" s="99"/>
      <c r="T96" s="99" t="s">
        <v>25</v>
      </c>
      <c r="U96" s="99"/>
      <c r="V96" s="99"/>
      <c r="W96" s="115"/>
      <c r="X96" s="96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7">
      <c r="D97" s="2" t="s">
        <v>478</v>
      </c>
      <c r="E97" s="3">
        <v>1083333</v>
      </c>
      <c r="L97" s="99"/>
      <c r="M97" s="209"/>
      <c r="N97" s="170"/>
      <c r="O97" s="99"/>
      <c r="Q97" s="99"/>
      <c r="R97" s="99"/>
      <c r="S97" s="99"/>
      <c r="T97" s="99"/>
      <c r="U97" s="99"/>
      <c r="V97" s="99"/>
      <c r="W97" s="115"/>
      <c r="X97" s="96"/>
      <c r="AH97" s="99"/>
      <c r="AI97" s="99"/>
      <c r="AJ97" s="95">
        <f>SUM(AJ20:AJ95)</f>
        <v>220952100</v>
      </c>
      <c r="AK97" s="99"/>
      <c r="AL97" s="99"/>
      <c r="AM97" s="95">
        <f>SUM(AM20:AM96)</f>
        <v>23645866137</v>
      </c>
      <c r="AN97" s="95">
        <f>AM97*AN100/31</f>
        <v>15255397.507741936</v>
      </c>
    </row>
    <row r="98" spans="4:47">
      <c r="D98" s="2"/>
      <c r="E98" s="3"/>
      <c r="H98" s="96"/>
      <c r="L98" s="99"/>
      <c r="Q98" s="99"/>
      <c r="R98" s="99"/>
      <c r="S98" s="99"/>
      <c r="T98" s="99"/>
      <c r="U98" s="99"/>
      <c r="V98" s="99"/>
      <c r="W98" s="115"/>
      <c r="X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L99" s="99"/>
      <c r="M99" s="209">
        <v>3965000</v>
      </c>
      <c r="N99" s="170"/>
      <c r="O99" s="99" t="s">
        <v>4541</v>
      </c>
      <c r="Q99" s="96"/>
      <c r="R99" s="96"/>
      <c r="S99" s="96"/>
      <c r="T99" s="96"/>
      <c r="V99" s="96"/>
      <c r="X99" s="115"/>
      <c r="AH99" s="99"/>
      <c r="AI99" s="99"/>
      <c r="AJ99" s="99"/>
      <c r="AK99" s="99"/>
      <c r="AL99" s="99"/>
      <c r="AM99" s="99"/>
      <c r="AN99" s="99"/>
    </row>
    <row r="100" spans="4:47">
      <c r="D100" s="2" t="s">
        <v>6</v>
      </c>
      <c r="E100" s="3">
        <f>SUM(E77:E98)</f>
        <v>3383333</v>
      </c>
      <c r="L100" s="99"/>
      <c r="M100" s="209">
        <v>3880000</v>
      </c>
      <c r="N100" s="170"/>
      <c r="O100" s="99" t="s">
        <v>4550</v>
      </c>
      <c r="Q100" s="96"/>
      <c r="R100" s="96"/>
      <c r="S100" s="96"/>
      <c r="T100" s="96"/>
      <c r="V100" s="96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>
      <c r="D101" s="2" t="s">
        <v>328</v>
      </c>
      <c r="E101" s="3">
        <f>E100/30</f>
        <v>112777.76666666666</v>
      </c>
      <c r="L101" s="99" t="s">
        <v>4559</v>
      </c>
      <c r="M101" s="210"/>
      <c r="N101" s="170">
        <v>3894000</v>
      </c>
      <c r="O101" s="99" t="s">
        <v>4552</v>
      </c>
      <c r="Q101" s="96"/>
      <c r="R101" s="96"/>
      <c r="S101" s="96"/>
      <c r="T101" s="96" t="s">
        <v>25</v>
      </c>
      <c r="V101" s="96"/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>
      <c r="L102" s="99"/>
      <c r="M102" s="209"/>
      <c r="N102" s="170">
        <v>3845000</v>
      </c>
      <c r="O102" s="99" t="s">
        <v>4552</v>
      </c>
      <c r="Q102" s="96"/>
      <c r="R102" s="96"/>
      <c r="S102" s="96"/>
      <c r="T102" s="96"/>
      <c r="V102" s="96"/>
      <c r="AB102" s="96"/>
      <c r="AC102" s="96"/>
      <c r="AH102" s="99"/>
      <c r="AI102" s="99" t="s">
        <v>4064</v>
      </c>
      <c r="AJ102" s="95">
        <f>AJ97+AN97</f>
        <v>236207497.50774193</v>
      </c>
      <c r="AK102" s="99"/>
      <c r="AL102" s="99"/>
      <c r="AM102" s="99"/>
      <c r="AN102" s="99"/>
    </row>
    <row r="103" spans="4:47">
      <c r="L103" s="99"/>
      <c r="M103" s="209"/>
      <c r="N103" s="170">
        <v>3845000</v>
      </c>
      <c r="O103" s="99" t="s">
        <v>4552</v>
      </c>
      <c r="Q103" s="96"/>
      <c r="R103" s="96"/>
      <c r="S103" s="96"/>
      <c r="T103" s="99" t="s">
        <v>180</v>
      </c>
      <c r="U103" s="99" t="s">
        <v>4532</v>
      </c>
      <c r="V103" s="99" t="s">
        <v>4533</v>
      </c>
      <c r="W103" s="99" t="s">
        <v>4548</v>
      </c>
      <c r="X103" s="99" t="s">
        <v>8</v>
      </c>
      <c r="AB103" s="96"/>
      <c r="AC103" s="96"/>
      <c r="AI103" t="s">
        <v>4067</v>
      </c>
      <c r="AJ103" s="114">
        <f>SUM(N41:N50)-N45</f>
        <v>213930703.59999996</v>
      </c>
    </row>
    <row r="104" spans="4:47" ht="30">
      <c r="L104" s="99"/>
      <c r="M104" s="209"/>
      <c r="N104" s="170">
        <v>3845000</v>
      </c>
      <c r="O104" s="99" t="s">
        <v>4552</v>
      </c>
      <c r="Q104" s="36" t="s">
        <v>4498</v>
      </c>
      <c r="R104" s="95">
        <f>SUM(N43:N51)</f>
        <v>230297489.19999996</v>
      </c>
      <c r="T104" s="113" t="s">
        <v>4506</v>
      </c>
      <c r="U104" s="56">
        <v>1000000</v>
      </c>
      <c r="V104" s="113">
        <v>239.024</v>
      </c>
      <c r="W104" s="113">
        <f>U104*V104</f>
        <v>239024000</v>
      </c>
      <c r="X104" s="99"/>
      <c r="AB104" s="96"/>
      <c r="AC104" s="96"/>
      <c r="AI104" t="s">
        <v>4139</v>
      </c>
      <c r="AJ104" s="114">
        <f>AJ103-AJ97</f>
        <v>-7021396.4000000358</v>
      </c>
    </row>
    <row r="105" spans="4:47">
      <c r="L105" s="99" t="s">
        <v>4563</v>
      </c>
      <c r="M105" s="209">
        <v>3990000</v>
      </c>
      <c r="N105" s="170"/>
      <c r="O105" s="99" t="s">
        <v>4557</v>
      </c>
      <c r="Q105" s="99" t="s">
        <v>4496</v>
      </c>
      <c r="R105" s="95">
        <f>SUM(N21:N25)</f>
        <v>24846379.299999997</v>
      </c>
      <c r="T105" s="169" t="s">
        <v>4481</v>
      </c>
      <c r="U105" s="56">
        <v>5904</v>
      </c>
      <c r="V105" s="113">
        <v>237.148</v>
      </c>
      <c r="W105" s="113">
        <f t="shared" ref="W105:W111" si="18">U105*V105</f>
        <v>1400121.7919999999</v>
      </c>
      <c r="X105" s="99" t="s">
        <v>1087</v>
      </c>
      <c r="AB105" s="96"/>
      <c r="AC105" s="96"/>
      <c r="AI105" t="s">
        <v>943</v>
      </c>
      <c r="AJ105" s="114">
        <f>AN97</f>
        <v>15255397.507741936</v>
      </c>
    </row>
    <row r="106" spans="4:47">
      <c r="L106" s="99"/>
      <c r="M106" s="209">
        <v>3915000</v>
      </c>
      <c r="N106" s="170"/>
      <c r="O106" s="99" t="s">
        <v>4560</v>
      </c>
      <c r="Q106" s="99" t="s">
        <v>4497</v>
      </c>
      <c r="R106" s="95">
        <f>SUM(N28:N30)</f>
        <v>2845991</v>
      </c>
      <c r="T106" s="169" t="s">
        <v>4235</v>
      </c>
      <c r="U106" s="169">
        <v>1000</v>
      </c>
      <c r="V106" s="113">
        <v>247.393</v>
      </c>
      <c r="W106" s="113">
        <f t="shared" si="18"/>
        <v>247393</v>
      </c>
      <c r="X106" s="99" t="s">
        <v>751</v>
      </c>
      <c r="AB106" s="96"/>
      <c r="AC106" s="96"/>
      <c r="AI106" t="s">
        <v>4068</v>
      </c>
      <c r="AJ106" s="114">
        <f>AJ103-AJ102</f>
        <v>-22276793.907741964</v>
      </c>
    </row>
    <row r="107" spans="4:47">
      <c r="L107" s="99"/>
      <c r="M107" s="209"/>
      <c r="N107" s="170"/>
      <c r="O107" s="99"/>
      <c r="Q107" s="99" t="s">
        <v>4499</v>
      </c>
      <c r="R107" s="95">
        <f>N41</f>
        <v>267896</v>
      </c>
      <c r="T107" s="169" t="s">
        <v>4552</v>
      </c>
      <c r="U107" s="169">
        <v>8071</v>
      </c>
      <c r="V107" s="113">
        <v>247.797</v>
      </c>
      <c r="W107" s="113">
        <f t="shared" si="18"/>
        <v>1999969.5870000001</v>
      </c>
      <c r="X107" s="99" t="s">
        <v>4494</v>
      </c>
      <c r="AB107" s="96"/>
      <c r="AC107" s="96"/>
    </row>
    <row r="108" spans="4:47">
      <c r="L108" s="99"/>
      <c r="M108" s="170"/>
      <c r="N108" s="170"/>
      <c r="O108" s="99"/>
      <c r="Q108" s="99" t="s">
        <v>4500</v>
      </c>
      <c r="R108" s="95">
        <f>N20</f>
        <v>0</v>
      </c>
      <c r="T108" s="169" t="s">
        <v>4552</v>
      </c>
      <c r="U108" s="169">
        <v>53672</v>
      </c>
      <c r="V108" s="113">
        <v>247.797</v>
      </c>
      <c r="W108" s="113">
        <f t="shared" si="18"/>
        <v>13299760.584000001</v>
      </c>
      <c r="X108" s="99" t="s">
        <v>452</v>
      </c>
      <c r="AB108" s="96"/>
      <c r="AC108" s="96"/>
      <c r="AJ108" t="s">
        <v>25</v>
      </c>
    </row>
    <row r="109" spans="4:47">
      <c r="M109" s="58"/>
      <c r="N109" s="58"/>
      <c r="O109" s="115"/>
      <c r="Q109" s="99" t="s">
        <v>4501</v>
      </c>
      <c r="R109" s="95">
        <f>N27</f>
        <v>0</v>
      </c>
      <c r="T109" s="169"/>
      <c r="U109" s="169"/>
      <c r="V109" s="113"/>
      <c r="W109" s="113">
        <f t="shared" si="18"/>
        <v>0</v>
      </c>
      <c r="X109" s="99"/>
      <c r="AC109" s="96"/>
      <c r="AD109" s="96"/>
      <c r="AE109"/>
      <c r="AF109"/>
    </row>
    <row r="110" spans="4:47">
      <c r="M110" t="s">
        <v>25</v>
      </c>
      <c r="Q110" s="99" t="s">
        <v>4513</v>
      </c>
      <c r="R110" s="95">
        <v>1300339</v>
      </c>
      <c r="T110" s="169"/>
      <c r="U110" s="169"/>
      <c r="V110" s="113"/>
      <c r="W110" s="113">
        <f t="shared" si="18"/>
        <v>0</v>
      </c>
      <c r="X110" s="99"/>
      <c r="AR110" s="96"/>
      <c r="AS110" s="96"/>
      <c r="AT110"/>
      <c r="AU110"/>
    </row>
    <row r="111" spans="4:47">
      <c r="M111" s="114">
        <f>SUM(N99:N104)-SUM(M99:M106)</f>
        <v>-321000</v>
      </c>
      <c r="N111" t="s">
        <v>916</v>
      </c>
      <c r="Q111" s="99"/>
      <c r="R111" s="95"/>
      <c r="T111" s="169"/>
      <c r="U111" s="169"/>
      <c r="V111" s="113"/>
      <c r="W111" s="113">
        <f t="shared" si="18"/>
        <v>0</v>
      </c>
      <c r="X111" s="99"/>
    </row>
    <row r="112" spans="4:47">
      <c r="Q112" s="99"/>
      <c r="R112" s="95"/>
      <c r="T112" s="169"/>
      <c r="U112" s="169">
        <f>SUM(U104:U110)</f>
        <v>1068647</v>
      </c>
      <c r="V112" s="99"/>
      <c r="W112" s="99"/>
      <c r="X112" s="99"/>
    </row>
    <row r="113" spans="17:43">
      <c r="Q113" s="99" t="s">
        <v>4505</v>
      </c>
      <c r="R113" s="95">
        <f>SUM(R104:R112)</f>
        <v>259558094.49999994</v>
      </c>
      <c r="S113" s="115"/>
      <c r="T113" s="99"/>
      <c r="U113" s="99" t="s">
        <v>6</v>
      </c>
      <c r="V113" s="99"/>
      <c r="W113" s="99"/>
      <c r="X113" s="99"/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7:43">
      <c r="S114" s="122"/>
      <c r="T114" s="206" t="s">
        <v>4534</v>
      </c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7:43">
      <c r="Q115" s="55"/>
      <c r="R115" s="186"/>
      <c r="S115" s="115"/>
      <c r="T115" s="205">
        <f>R113/U112</f>
        <v>242.88478281415652</v>
      </c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9">AK115+AL116</f>
        <v>133</v>
      </c>
      <c r="AM115" s="99">
        <f t="shared" ref="AM115:AM137" si="20">AJ115*AL115</f>
        <v>228871321</v>
      </c>
      <c r="AN115" s="99" t="s">
        <v>4329</v>
      </c>
    </row>
    <row r="116" spans="17:43">
      <c r="Q116" s="55"/>
      <c r="R116" s="186"/>
      <c r="S116" s="115"/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9"/>
        <v>82</v>
      </c>
      <c r="AM116" s="99">
        <f t="shared" si="20"/>
        <v>12300000</v>
      </c>
      <c r="AN116" s="99"/>
    </row>
    <row r="117" spans="17:43">
      <c r="Q117" s="122"/>
      <c r="R117" s="115"/>
      <c r="U117" s="96" t="s">
        <v>267</v>
      </c>
      <c r="V117" t="s">
        <v>4535</v>
      </c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9"/>
        <v>79</v>
      </c>
      <c r="AM117" s="99">
        <f t="shared" si="20"/>
        <v>-7505000</v>
      </c>
      <c r="AN117" s="99"/>
    </row>
    <row r="118" spans="17:43">
      <c r="U118" s="96">
        <v>13300000</v>
      </c>
      <c r="V118">
        <f>U118/T115</f>
        <v>54758.473733517116</v>
      </c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9"/>
        <v>71</v>
      </c>
      <c r="AM118" s="99">
        <f t="shared" si="20"/>
        <v>223650000</v>
      </c>
      <c r="AN118" s="99"/>
    </row>
    <row r="119" spans="17:43">
      <c r="Q119" s="99" t="s">
        <v>4494</v>
      </c>
      <c r="R119" s="99"/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9"/>
        <v>55</v>
      </c>
      <c r="AM119" s="99">
        <f t="shared" si="20"/>
        <v>-3575000</v>
      </c>
      <c r="AN119" s="99"/>
    </row>
    <row r="120" spans="17:43">
      <c r="Q120" s="36" t="s">
        <v>180</v>
      </c>
      <c r="R120" s="99" t="s">
        <v>267</v>
      </c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9"/>
        <v>54</v>
      </c>
      <c r="AM120" s="99">
        <f t="shared" si="20"/>
        <v>-5130000</v>
      </c>
      <c r="AN120" s="99"/>
      <c r="AO120" t="s">
        <v>25</v>
      </c>
    </row>
    <row r="121" spans="17:43">
      <c r="Q121" s="99" t="s">
        <v>4481</v>
      </c>
      <c r="R121" s="95">
        <v>3000000</v>
      </c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9"/>
        <v>48</v>
      </c>
      <c r="AM121" s="99">
        <f t="shared" si="20"/>
        <v>11136000</v>
      </c>
      <c r="AN121" s="99"/>
      <c r="AP121" t="s">
        <v>25</v>
      </c>
      <c r="AQ121" t="s">
        <v>25</v>
      </c>
    </row>
    <row r="122" spans="17:43">
      <c r="Q122" s="99" t="s">
        <v>4552</v>
      </c>
      <c r="R122" s="95">
        <v>2000000</v>
      </c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9"/>
        <v>41</v>
      </c>
      <c r="AM122" s="99">
        <f t="shared" si="20"/>
        <v>533000000</v>
      </c>
      <c r="AN122" s="99"/>
    </row>
    <row r="123" spans="17:43" ht="60">
      <c r="Q123" s="99"/>
      <c r="R123" s="95"/>
      <c r="T123" s="22" t="s">
        <v>4516</v>
      </c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9"/>
        <v>39</v>
      </c>
      <c r="AM123" s="99">
        <f t="shared" si="20"/>
        <v>390000000</v>
      </c>
      <c r="AN123" s="99"/>
    </row>
    <row r="124" spans="17:43" ht="45">
      <c r="Q124" s="99"/>
      <c r="R124" s="95"/>
      <c r="T124" s="22" t="s">
        <v>4517</v>
      </c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9"/>
        <v>36</v>
      </c>
      <c r="AM124" s="99">
        <f t="shared" si="20"/>
        <v>122400000</v>
      </c>
      <c r="AN124" s="99"/>
    </row>
    <row r="125" spans="17:43">
      <c r="Q125" s="99"/>
      <c r="R125" s="95"/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20"/>
        <v>-235885878</v>
      </c>
      <c r="AN125" s="99"/>
    </row>
    <row r="126" spans="17:43">
      <c r="Q126" s="99"/>
      <c r="R126" s="95"/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1">AK126+AL127</f>
        <v>26</v>
      </c>
      <c r="AM126" s="99">
        <f t="shared" si="20"/>
        <v>14430000</v>
      </c>
      <c r="AN126" s="99"/>
    </row>
    <row r="127" spans="17:43">
      <c r="Q127" s="99"/>
      <c r="R127" s="95">
        <f>SUM(R121:R125)</f>
        <v>5000000</v>
      </c>
      <c r="T127" s="99" t="s">
        <v>4536</v>
      </c>
      <c r="U127" s="99" t="s">
        <v>4505</v>
      </c>
      <c r="V127" s="99" t="s">
        <v>953</v>
      </c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1"/>
        <v>21</v>
      </c>
      <c r="AM127" s="99">
        <f t="shared" si="20"/>
        <v>-9414468</v>
      </c>
      <c r="AN127" s="99"/>
    </row>
    <row r="128" spans="17:43">
      <c r="Q128" s="99"/>
      <c r="R128" s="99" t="s">
        <v>6</v>
      </c>
      <c r="T128" s="95">
        <f>R127+R135+R144+R153</f>
        <v>255970393</v>
      </c>
      <c r="U128" s="95">
        <f>R113</f>
        <v>259558094.49999994</v>
      </c>
      <c r="V128" s="95">
        <f>U128-T128</f>
        <v>3587701.4999999404</v>
      </c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1"/>
        <v>15</v>
      </c>
      <c r="AM128" s="99">
        <f t="shared" si="20"/>
        <v>498375</v>
      </c>
      <c r="AN128" s="99"/>
    </row>
    <row r="129" spans="17:40"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1"/>
        <v>15</v>
      </c>
      <c r="AM129" s="149">
        <f t="shared" si="20"/>
        <v>61477845</v>
      </c>
      <c r="AN129" s="149" t="s">
        <v>657</v>
      </c>
    </row>
    <row r="130" spans="17:40">
      <c r="Q130" s="99" t="s">
        <v>1087</v>
      </c>
      <c r="R130" s="99"/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1"/>
        <v>13</v>
      </c>
      <c r="AM130" s="149">
        <f t="shared" si="20"/>
        <v>-13000000</v>
      </c>
      <c r="AN130" s="149" t="s">
        <v>657</v>
      </c>
    </row>
    <row r="131" spans="17:40">
      <c r="Q131" s="99" t="s">
        <v>4481</v>
      </c>
      <c r="R131" s="95">
        <v>828000</v>
      </c>
      <c r="AH131" s="149">
        <v>18</v>
      </c>
      <c r="AI131" s="149" t="s">
        <v>4472</v>
      </c>
      <c r="AJ131" s="193">
        <v>750000</v>
      </c>
      <c r="AK131" s="149">
        <v>1</v>
      </c>
      <c r="AL131" s="149">
        <f t="shared" si="21"/>
        <v>6</v>
      </c>
      <c r="AM131" s="149">
        <f t="shared" si="20"/>
        <v>4500000</v>
      </c>
      <c r="AN131" s="149" t="s">
        <v>657</v>
      </c>
    </row>
    <row r="132" spans="17:40">
      <c r="Q132" s="99" t="s">
        <v>4531</v>
      </c>
      <c r="R132" s="95">
        <v>1400000</v>
      </c>
      <c r="AH132" s="201">
        <v>19</v>
      </c>
      <c r="AI132" s="201" t="s">
        <v>4479</v>
      </c>
      <c r="AJ132" s="202">
        <v>-604152</v>
      </c>
      <c r="AK132" s="201">
        <v>0</v>
      </c>
      <c r="AL132" s="201">
        <f t="shared" si="21"/>
        <v>5</v>
      </c>
      <c r="AM132" s="201">
        <f t="shared" si="20"/>
        <v>-3020760</v>
      </c>
      <c r="AN132" s="201" t="s">
        <v>657</v>
      </c>
    </row>
    <row r="133" spans="17:40">
      <c r="Q133" s="99"/>
      <c r="R133" s="95"/>
      <c r="AH133" s="99">
        <v>20</v>
      </c>
      <c r="AI133" s="99" t="s">
        <v>4480</v>
      </c>
      <c r="AJ133" s="117">
        <v>-587083</v>
      </c>
      <c r="AK133" s="99">
        <v>4</v>
      </c>
      <c r="AL133" s="99">
        <f t="shared" si="21"/>
        <v>5</v>
      </c>
      <c r="AM133" s="99">
        <f t="shared" si="20"/>
        <v>-2935415</v>
      </c>
      <c r="AN133" s="99"/>
    </row>
    <row r="134" spans="17:40">
      <c r="Q134" s="99"/>
      <c r="R134" s="95"/>
      <c r="AH134" s="201">
        <v>21</v>
      </c>
      <c r="AI134" s="201" t="s">
        <v>4481</v>
      </c>
      <c r="AJ134" s="202">
        <v>-754351</v>
      </c>
      <c r="AK134" s="201">
        <v>0</v>
      </c>
      <c r="AL134" s="201">
        <f t="shared" si="21"/>
        <v>1</v>
      </c>
      <c r="AM134" s="201">
        <f t="shared" si="20"/>
        <v>-754351</v>
      </c>
      <c r="AN134" s="201" t="s">
        <v>657</v>
      </c>
    </row>
    <row r="135" spans="17:40">
      <c r="Q135" s="99"/>
      <c r="R135" s="95">
        <f>SUM(R131:R133)</f>
        <v>2228000</v>
      </c>
      <c r="AH135" s="99">
        <v>22</v>
      </c>
      <c r="AI135" s="99" t="s">
        <v>4481</v>
      </c>
      <c r="AJ135" s="117">
        <v>-189619</v>
      </c>
      <c r="AK135" s="99">
        <v>1</v>
      </c>
      <c r="AL135" s="99">
        <f t="shared" si="21"/>
        <v>1</v>
      </c>
      <c r="AM135" s="99">
        <f t="shared" si="20"/>
        <v>-189619</v>
      </c>
      <c r="AN135" s="99"/>
    </row>
    <row r="136" spans="17:40">
      <c r="Q136" s="99"/>
      <c r="R136" s="99" t="s">
        <v>6</v>
      </c>
      <c r="AH136" s="99"/>
      <c r="AI136" s="99"/>
      <c r="AJ136" s="99"/>
      <c r="AK136" s="99"/>
      <c r="AL136" s="99">
        <f t="shared" si="21"/>
        <v>0</v>
      </c>
      <c r="AM136" s="99">
        <f t="shared" si="20"/>
        <v>0</v>
      </c>
      <c r="AN136" s="99"/>
    </row>
    <row r="137" spans="17:40">
      <c r="AH137" s="99"/>
      <c r="AI137" s="99"/>
      <c r="AJ137" s="99"/>
      <c r="AK137" s="99"/>
      <c r="AL137" s="99">
        <f t="shared" si="19"/>
        <v>0</v>
      </c>
      <c r="AM137" s="99">
        <f t="shared" si="20"/>
        <v>0</v>
      </c>
      <c r="AN137" s="99"/>
    </row>
    <row r="138" spans="17:40">
      <c r="Q138" s="99" t="s">
        <v>751</v>
      </c>
      <c r="R138" s="99"/>
      <c r="AH138" s="99"/>
      <c r="AI138" s="99"/>
      <c r="AJ138" s="99"/>
      <c r="AK138" s="99"/>
      <c r="AL138" s="99"/>
      <c r="AM138" s="99"/>
      <c r="AN138" s="99"/>
    </row>
    <row r="139" spans="17:40">
      <c r="Q139" s="99" t="s">
        <v>4481</v>
      </c>
      <c r="R139" s="95">
        <v>172080000</v>
      </c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 t="s">
        <v>4235</v>
      </c>
      <c r="R140" s="95">
        <v>247393</v>
      </c>
      <c r="AJ140" t="s">
        <v>4062</v>
      </c>
      <c r="AM140" t="s">
        <v>284</v>
      </c>
      <c r="AN140" t="s">
        <v>943</v>
      </c>
    </row>
    <row r="141" spans="17:40">
      <c r="Q141" s="99"/>
      <c r="R141" s="95"/>
    </row>
    <row r="142" spans="17:40">
      <c r="Q142" s="99"/>
      <c r="R142" s="95"/>
      <c r="AI142" t="s">
        <v>4064</v>
      </c>
      <c r="AJ142" s="114">
        <f>AJ139+AN139</f>
        <v>29232241.709677421</v>
      </c>
    </row>
    <row r="143" spans="17:40">
      <c r="Q143" s="99"/>
      <c r="R143" s="95"/>
      <c r="AI143" t="s">
        <v>4067</v>
      </c>
      <c r="AJ143" s="114">
        <f>SUM(N20:N30)</f>
        <v>27692370.300000001</v>
      </c>
    </row>
    <row r="144" spans="17:40">
      <c r="Q144" s="99"/>
      <c r="R144" s="95">
        <f>SUM(R139:R142)</f>
        <v>172327393</v>
      </c>
      <c r="T144" t="s">
        <v>25</v>
      </c>
      <c r="AI144" t="s">
        <v>4139</v>
      </c>
      <c r="AJ144" s="114">
        <f>AJ143-AJ139</f>
        <v>-378007.69999999925</v>
      </c>
    </row>
    <row r="145" spans="17:36">
      <c r="Q145" s="99"/>
      <c r="R145" s="99" t="s">
        <v>6</v>
      </c>
      <c r="AI145" t="s">
        <v>943</v>
      </c>
      <c r="AJ145" s="114">
        <f>AN139</f>
        <v>1161863.7096774194</v>
      </c>
    </row>
    <row r="146" spans="17:36">
      <c r="AI146" t="s">
        <v>4068</v>
      </c>
      <c r="AJ146" s="114">
        <f>AJ144-AJ145</f>
        <v>-1539871.4096774186</v>
      </c>
    </row>
    <row r="148" spans="17:36">
      <c r="Q148" s="99" t="s">
        <v>452</v>
      </c>
      <c r="R148" s="99"/>
    </row>
    <row r="149" spans="17:36">
      <c r="Q149" s="99" t="s">
        <v>4481</v>
      </c>
      <c r="R149" s="95">
        <v>63115000</v>
      </c>
    </row>
    <row r="150" spans="17:36">
      <c r="Q150" s="99" t="s">
        <v>4552</v>
      </c>
      <c r="R150" s="95">
        <v>13300000</v>
      </c>
    </row>
    <row r="151" spans="17:36">
      <c r="Q151" s="99"/>
      <c r="R151" s="95"/>
    </row>
    <row r="152" spans="17:36">
      <c r="Q152" s="99"/>
      <c r="R152" s="95"/>
    </row>
    <row r="153" spans="17:36">
      <c r="Q153" s="99"/>
      <c r="R153" s="95">
        <f>SUM(R149:R151)</f>
        <v>76415000</v>
      </c>
    </row>
    <row r="154" spans="17:36">
      <c r="Q154" s="99"/>
      <c r="R154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90 S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2018-12-09T16:43:52Z</dcterms:modified>
</cp:coreProperties>
</file>