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8" i="60" l="1"/>
  <c r="K9" i="60"/>
  <c r="K10" i="60"/>
  <c r="K11" i="60"/>
  <c r="K12" i="60"/>
  <c r="K13" i="60"/>
  <c r="K14" i="60"/>
  <c r="K15" i="60"/>
  <c r="K7" i="60"/>
  <c r="G48" i="10" l="1"/>
  <c r="G110" i="63" l="1"/>
  <c r="H110" i="63"/>
  <c r="I110" i="63"/>
  <c r="V128" i="18"/>
  <c r="W128" i="18" s="1"/>
  <c r="S128" i="18"/>
  <c r="O52" i="18"/>
  <c r="X128" i="18" l="1"/>
  <c r="B39" i="60"/>
  <c r="B36" i="60"/>
  <c r="G109" i="63" l="1"/>
  <c r="H109" i="63"/>
  <c r="I109" i="63"/>
  <c r="J43" i="18" l="1"/>
  <c r="J44" i="18" s="1"/>
  <c r="F145" i="63"/>
  <c r="C145" i="63"/>
  <c r="I144" i="63"/>
  <c r="H144" i="63"/>
  <c r="G144" i="63"/>
  <c r="I143" i="63"/>
  <c r="H143" i="63"/>
  <c r="K143" i="63" s="1"/>
  <c r="G143" i="63"/>
  <c r="K142" i="63"/>
  <c r="K141" i="63"/>
  <c r="I139" i="63"/>
  <c r="H139" i="63"/>
  <c r="G139" i="63"/>
  <c r="I138" i="63"/>
  <c r="H138" i="63"/>
  <c r="G138" i="63"/>
  <c r="I137" i="63"/>
  <c r="H137" i="63"/>
  <c r="G137" i="63"/>
  <c r="R170" i="18"/>
  <c r="W455" i="18"/>
  <c r="G145" i="63" l="1"/>
  <c r="I145" i="63"/>
  <c r="K144" i="63"/>
  <c r="K138" i="63"/>
  <c r="K139" i="63"/>
  <c r="K140" i="63"/>
  <c r="H145" i="63"/>
  <c r="K145" i="63" s="1"/>
  <c r="K122" i="63"/>
  <c r="K123" i="63"/>
  <c r="G107" i="63"/>
  <c r="H107" i="63"/>
  <c r="I107" i="63"/>
  <c r="G108" i="63"/>
  <c r="H108" i="63"/>
  <c r="I108" i="63"/>
  <c r="G113" i="63"/>
  <c r="H113" i="63"/>
  <c r="I113" i="63"/>
  <c r="G114" i="63"/>
  <c r="H114" i="63"/>
  <c r="I114" i="63"/>
  <c r="W454" i="18"/>
  <c r="G105" i="63"/>
  <c r="H105" i="63"/>
  <c r="I105" i="63"/>
  <c r="G106" i="63"/>
  <c r="H106" i="63"/>
  <c r="I106" i="63"/>
  <c r="L145" i="63" l="1"/>
  <c r="K113" i="63"/>
  <c r="K106" i="63"/>
  <c r="K114" i="63"/>
  <c r="K107" i="63"/>
  <c r="K108" i="63"/>
  <c r="H312" i="18"/>
  <c r="W453" i="18"/>
  <c r="U462" i="18"/>
  <c r="G119" i="63"/>
  <c r="F126" i="63"/>
  <c r="C126" i="63"/>
  <c r="I125" i="63"/>
  <c r="H125" i="63"/>
  <c r="G125" i="63"/>
  <c r="I124" i="63"/>
  <c r="H124" i="63"/>
  <c r="K124" i="63" s="1"/>
  <c r="G124" i="63"/>
  <c r="I120" i="63"/>
  <c r="H120" i="63"/>
  <c r="G120" i="63"/>
  <c r="I119" i="63"/>
  <c r="H119" i="63"/>
  <c r="I118" i="63"/>
  <c r="H118" i="63"/>
  <c r="G118" i="63"/>
  <c r="K119" i="63" l="1"/>
  <c r="K120" i="63"/>
  <c r="K121" i="63"/>
  <c r="K125" i="63"/>
  <c r="G126" i="63"/>
  <c r="H126" i="63"/>
  <c r="K126" i="63" s="1"/>
  <c r="I126" i="63"/>
  <c r="W452" i="18"/>
  <c r="G104" i="63"/>
  <c r="L126" i="63" l="1"/>
  <c r="F161" i="63"/>
  <c r="C161" i="63"/>
  <c r="I155" i="63"/>
  <c r="P28" i="18" l="1"/>
  <c r="W451" i="18"/>
  <c r="G155" i="63" l="1"/>
  <c r="H155" i="63"/>
  <c r="W450" i="18" l="1"/>
  <c r="G98" i="63"/>
  <c r="H98" i="63"/>
  <c r="I98" i="63"/>
  <c r="I131" i="63" l="1"/>
  <c r="K98" i="63" l="1"/>
  <c r="H87" i="63" l="1"/>
  <c r="P114" i="60" l="1"/>
  <c r="L45" i="18" l="1"/>
  <c r="W447" i="18" l="1"/>
  <c r="R169" i="18" l="1"/>
  <c r="R168" i="18"/>
  <c r="W446" i="18" l="1"/>
  <c r="H104" i="63" l="1"/>
  <c r="K105" i="63" s="1"/>
  <c r="I104"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5" i="18"/>
  <c r="K160" i="63" l="1"/>
  <c r="K154" i="63"/>
  <c r="K152" i="63"/>
  <c r="K159" i="63"/>
  <c r="K153" i="63"/>
  <c r="K151" i="63"/>
  <c r="H161" i="63"/>
  <c r="K161" i="63" s="1"/>
  <c r="I161" i="63"/>
  <c r="G161" i="63"/>
  <c r="J154" i="18"/>
  <c r="F115" i="63"/>
  <c r="C115" i="63"/>
  <c r="H115" i="63" l="1"/>
  <c r="K115" i="63" s="1"/>
  <c r="G115" i="63"/>
  <c r="I115" i="63"/>
  <c r="L161" i="63"/>
  <c r="W444"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43" i="18"/>
  <c r="W442" i="18" l="1"/>
  <c r="D165" i="58" l="1"/>
  <c r="F92" i="63" l="1"/>
  <c r="C92" i="63"/>
  <c r="H92" i="63" l="1"/>
  <c r="K92" i="63" s="1"/>
  <c r="O473" i="52"/>
  <c r="J473" i="52"/>
  <c r="W437" i="18" l="1"/>
  <c r="W438" i="18"/>
  <c r="W439" i="18"/>
  <c r="W440" i="18"/>
  <c r="W441" i="18"/>
  <c r="W448" i="18"/>
  <c r="W449" i="18"/>
  <c r="W461" i="18"/>
  <c r="AL448" i="18"/>
  <c r="O472" i="52"/>
  <c r="J472" i="52"/>
  <c r="AM448" i="18" l="1"/>
  <c r="AL447" i="18"/>
  <c r="AM447" i="18" l="1"/>
  <c r="AL446" i="18"/>
  <c r="R497" i="18"/>
  <c r="W436" i="18"/>
  <c r="W435" i="18"/>
  <c r="W434" i="18"/>
  <c r="W433" i="18"/>
  <c r="W432" i="18"/>
  <c r="W431"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103" i="63"/>
  <c r="H103" i="63"/>
  <c r="K104" i="63" s="1"/>
  <c r="I103" i="63"/>
  <c r="L115" i="63" l="1"/>
  <c r="G119" i="18" l="1"/>
  <c r="J119" i="18" s="1"/>
  <c r="G118" i="18"/>
  <c r="J118" i="18" s="1"/>
  <c r="I122" i="18" l="1"/>
  <c r="W422" i="18"/>
  <c r="W421" i="18"/>
  <c r="W420" i="18" l="1"/>
  <c r="W419" i="18"/>
  <c r="W418" i="18" l="1"/>
  <c r="G131"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32"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32" i="63" l="1"/>
  <c r="W366" i="18" l="1"/>
  <c r="V481" i="18"/>
  <c r="S239" i="18" l="1"/>
  <c r="G130"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01" i="63" l="1"/>
  <c r="G101" i="63"/>
  <c r="AM421" i="18"/>
  <c r="AL420" i="18"/>
  <c r="H101" i="63"/>
  <c r="K101" i="63" s="1"/>
  <c r="L101"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83" i="18" l="1"/>
  <c r="T485"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9"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0" i="18"/>
  <c r="S71" i="18" s="1"/>
  <c r="S72" i="18" s="1"/>
  <c r="R163" i="18"/>
  <c r="R161" i="18"/>
  <c r="D57" i="51"/>
  <c r="AL117" i="18" l="1"/>
  <c r="AM118" i="18"/>
  <c r="S73" i="18"/>
  <c r="S74" i="18" s="1"/>
  <c r="AM117" i="18" l="1"/>
  <c r="AL116" i="18"/>
  <c r="S75" i="18"/>
  <c r="S76" i="18" s="1"/>
  <c r="N28" i="18"/>
  <c r="Q87"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8" i="18"/>
  <c r="R174" i="18" s="1"/>
  <c r="AJ256" i="18"/>
  <c r="AJ257" i="18" s="1"/>
  <c r="G305" i="20"/>
  <c r="I306" i="20"/>
  <c r="K306" i="20"/>
  <c r="J306" i="20"/>
  <c r="AL74" i="18"/>
  <c r="AM75" i="18"/>
  <c r="T465" i="18" l="1"/>
  <c r="V468" i="18" s="1"/>
  <c r="U478" i="18"/>
  <c r="V478"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2" i="18"/>
  <c r="V133" i="18"/>
  <c r="V46" i="18"/>
  <c r="V44" i="18"/>
  <c r="V45" i="18"/>
  <c r="V43" i="18"/>
  <c r="V42" i="18"/>
  <c r="V41" i="18"/>
  <c r="V37" i="18"/>
  <c r="V38" i="18"/>
  <c r="V39" i="18"/>
  <c r="V40" i="18"/>
  <c r="V35" i="18"/>
  <c r="V36" i="18"/>
  <c r="V34" i="18"/>
  <c r="V31" i="18"/>
  <c r="V32" i="18"/>
  <c r="V33" i="18"/>
  <c r="V79" i="18"/>
  <c r="W143" i="18"/>
  <c r="V86" i="18"/>
  <c r="W14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32" i="18"/>
  <c r="X132"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4" i="18"/>
  <c r="G302" i="20"/>
  <c r="K303" i="20"/>
  <c r="I303" i="20"/>
  <c r="J303" i="20"/>
  <c r="X26" i="18"/>
  <c r="W75" i="18"/>
  <c r="X75" i="18"/>
  <c r="W25" i="18"/>
  <c r="X25" i="18"/>
  <c r="X24" i="18"/>
  <c r="W74" i="18"/>
  <c r="X74" i="18"/>
  <c r="W23" i="18"/>
  <c r="W73" i="18"/>
  <c r="X73" i="18"/>
  <c r="W72" i="18"/>
  <c r="X72" i="18"/>
  <c r="N31" i="18"/>
  <c r="W142" i="18"/>
  <c r="W151" i="18" s="1"/>
  <c r="X71" i="18"/>
  <c r="W71" i="18"/>
  <c r="W22" i="18"/>
  <c r="X22" i="18"/>
  <c r="W20" i="18"/>
  <c r="X20" i="18"/>
  <c r="W95" i="18"/>
  <c r="X95"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X121" i="18"/>
  <c r="W120" i="18"/>
  <c r="X120" i="18"/>
  <c r="G20" i="20"/>
  <c r="I21" i="20"/>
  <c r="J21" i="20"/>
  <c r="K21" i="20"/>
  <c r="F15" i="15"/>
  <c r="V123" i="18" l="1"/>
  <c r="S124" i="18"/>
  <c r="W122" i="18"/>
  <c r="W123" i="18"/>
  <c r="X123" i="18"/>
  <c r="G19" i="20"/>
  <c r="I20" i="20"/>
  <c r="J20" i="20"/>
  <c r="K20" i="20"/>
  <c r="F14" i="15"/>
  <c r="S125" i="18" l="1"/>
  <c r="V124" i="18"/>
  <c r="G18" i="20"/>
  <c r="J19" i="20"/>
  <c r="K19" i="20"/>
  <c r="I19" i="20"/>
  <c r="F13" i="15"/>
  <c r="V125" i="18" l="1"/>
  <c r="S126" i="18"/>
  <c r="W124" i="18"/>
  <c r="X124" i="18"/>
  <c r="X125" i="18"/>
  <c r="W125" i="18"/>
  <c r="G17" i="20"/>
  <c r="K18" i="20"/>
  <c r="I18" i="20"/>
  <c r="J18" i="20"/>
  <c r="F12" i="15"/>
  <c r="S127" i="18" l="1"/>
  <c r="V127" i="18" s="1"/>
  <c r="V126" i="18"/>
  <c r="G16" i="20"/>
  <c r="I17" i="20"/>
  <c r="K17" i="20"/>
  <c r="J17" i="20"/>
  <c r="F11" i="15"/>
  <c r="W126" i="18" l="1"/>
  <c r="X126" i="18"/>
  <c r="W127" i="18"/>
  <c r="X127" i="18"/>
  <c r="G15" i="20"/>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<sst xmlns="http://schemas.openxmlformats.org/spreadsheetml/2006/main" count="14809" uniqueCount="5912">
  <si>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</si>
  <si>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</si>
  <si>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</si>
  <si>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</si>
  <si>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</si>
  <si>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</si>
  <si>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</si>
  <si>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</si>
  <si>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</si>
  <si>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</si>
  <si>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</si>
  <si>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</si>
  <si>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</si>
  <si>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</si>
  <si>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</si>
  <si>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</si>
  <si>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</si>
  <si>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</si>
  <si>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</si>
  <si>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</si>
  <si>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</si>
  <si>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</si>
  <si>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</si>
  <si>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</si>
  <si>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</si>
  <si>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</si>
  <si>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</si>
  <si>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</si>
  <si>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</si>
  <si>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</si>
  <si>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</si>
  <si>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</si>
  <si>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</si>
  <si>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</si>
  <si>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</si>
  <si>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</si>
  <si>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</si>
  <si>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</si>
  <si>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</si>
  <si>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</si>
  <si>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</si>
  <si>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</si>
  <si>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</si>
  <si>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</si>
  <si>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</si>
  <si>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</si>
  <si>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</si>
  <si>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</si>
  <si>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</si>
  <si>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</si>
  <si>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</si>
  <si>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</si>
  <si>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</si>
  <si>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</si>
  <si>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</si>
  <si>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</si>
  <si>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</si>
  <si>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</si>
  <si>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</si>
  <si>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</si>
  <si>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</si>
  <si>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</si>
  <si>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</si>
  <si>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</si>
  <si>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</si>
  <si>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</si>
  <si>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</si>
  <si>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</si>
  <si>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</si>
  <si>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</si>
  <si>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</si>
  <si>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</si>
  <si>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</si>
  <si>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</si>
  <si>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</si>
  <si>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</si>
  <si>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</si>
  <si>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</si>
  <si>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</si>
  <si>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</si>
  <si>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</si>
  <si>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</si>
  <si>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</si>
  <si>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</si>
  <si>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</si>
  <si>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</si>
  <si>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</si>
  <si>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</si>
  <si>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</si>
  <si>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</si>
  <si>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</si>
  <si>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</si>
  <si>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</si>
  <si>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</si>
  <si>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</si>
  <si>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</si>
  <si>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</si>
  <si>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</si>
  <si>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</si>
  <si>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</si>
  <si>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</si>
  <si>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</si>
  <si>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</si>
  <si>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</si>
  <si>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</si>
  <si>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</si>
  <si>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</si>
  <si>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</si>
  <si>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</si>
  <si>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</si>
  <si>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</si>
  <si>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</si>
  <si>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</si>
  <si>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</si>
  <si>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</si>
  <si>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</si>
  <si>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</si>
  <si>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</si>
  <si>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</si>
  <si>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</si>
  <si>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</si>
  <si>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</si>
  <si>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</si>
  <si>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</si>
  <si>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</si>
  <si>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</si>
  <si>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</si>
  <si>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</si>
  <si>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</si>
  <si>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</si>
  <si>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</si>
  <si>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</si>
  <si>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</si>
  <si>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</si>
  <si>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</si>
  <si>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</si>
  <si>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</si>
  <si>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</si>
  <si>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</si>
  <si>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</si>
  <si>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</si>
  <si>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</si>
  <si>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</si>
  <si>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</si>
  <si>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</si>
  <si>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</si>
  <si>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</si>
  <si>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</si>
  <si>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</si>
  <si>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</si>
  <si>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</si>
  <si>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</si>
  <si>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</si>
  <si>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</si>
  <si>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</si>
  <si>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</si>
  <si>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</si>
  <si>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</si>
  <si>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</si>
  <si>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</si>
  <si>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</si>
  <si>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</si>
  <si>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</si>
  <si>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</si>
  <si>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</si>
  <si>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</si>
  <si>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</si>
  <si>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</si>
  <si>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</si>
  <si>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</si>
  <si>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</si>
  <si>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</si>
  <si>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</si>
  <si>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</si>
  <si>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</si>
  <si>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</si>
  <si>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</si>
  <si>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</si>
  <si>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</si>
  <si>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</si>
  <si>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</si>
  <si>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</si>
  <si>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</si>
  <si>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</si>
  <si>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</si>
  <si>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</si>
  <si>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</si>
  <si>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</si>
  <si>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</si>
  <si>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</si>
  <si>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</si>
  <si>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</si>
  <si>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</si>
  <si>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</si>
  <si>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</si>
  <si>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</si>
  <si>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</si>
  <si>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</si>
  <si>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</si>
  <si>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</si>
  <si>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</si>
  <si>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</si>
  <si>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</si>
  <si>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</si>
  <si>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</si>
  <si>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</si>
  <si>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</si>
  <si>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</si>
  <si>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</si>
  <si>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</si>
  <si>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</si>
  <si>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</si>
  <si>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</si>
  <si>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</si>
  <si>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</si>
  <si>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</si>
  <si>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</si>
  <si>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</si>
  <si>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</si>
  <si>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</si>
  <si>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</si>
  <si>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</si>
  <si>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</si>
  <si>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</si>
  <si>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</si>
  <si>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</si>
  <si>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</si>
  <si>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</si>
  <si>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</si>
  <si>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</si>
  <si>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</si>
  <si>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</si>
  <si>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</si>
  <si>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</si>
  <si>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</si>
  <si>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</si>
  <si>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</si>
  <si>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</si>
  <si>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</si>
  <si>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</si>
  <si>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</si>
  <si>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</si>
  <si>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</si>
  <si>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</si>
  <si>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</si>
  <si>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</si>
  <si>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</si>
  <si>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</si>
  <si>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</si>
  <si>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</si>
  <si>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</si>
  <si>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</si>
  <si>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</si>
  <si>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</si>
  <si>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</si>
  <si>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</si>
  <si>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</si>
  <si>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</si>
  <si>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</si>
  <si>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</si>
  <si>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</si>
  <si>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</si>
  <si>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</si>
  <si>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</si>
  <si>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</si>
  <si>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</si>
  <si>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</si>
  <si>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</si>
  <si>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</si>
  <si>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</si>
  <si>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</si>
  <si>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</si>
  <si>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</si>
  <si>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</si>
  <si>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</si>
  <si>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</si>
  <si>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</si>
  <si>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</si>
  <si>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</si>
  <si>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</si>
  <si>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</si>
  <si>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</si>
  <si>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</si>
  <si>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</si>
  <si>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</si>
  <si>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</si>
  <si>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</si>
  <si>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</si>
  <si>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</si>
  <si>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</si>
  <si>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</si>
  <si>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</si>
  <si>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</si>
  <si>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</si>
  <si>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</si>
  <si>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</si>
  <si>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</si>
  <si>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</si>
  <si>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</si>
  <si>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</si>
  <si>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</si>
  <si>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</si>
  <si>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</si>
  <si>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</si>
  <si>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</si>
  <si>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</si>
  <si>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</si>
  <si>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</si>
  <si>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</si>
  <si>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</si>
  <si>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</si>
  <si>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</si>
  <si>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</si>
  <si>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</si>
  <si>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</si>
  <si>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</si>
  <si>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</si>
  <si>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</si>
  <si>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</si>
  <si>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</si>
  <si>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</si>
  <si>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</si>
  <si>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</si>
  <si>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</si>
  <si>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</si>
  <si>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</si>
  <si>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</si>
  <si>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</si>
  <si>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</si>
  <si>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</si>
  <si>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</si>
  <si>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</si>
  <si>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</si>
  <si>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</si>
  <si>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</si>
  <si>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</si>
  <si>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</si>
  <si>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</si>
  <si>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</si>
  <si>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</si>
  <si>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</si>
  <si>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</si>
  <si>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</si>
  <si>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</si>
  <si>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</si>
  <si>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</si>
  <si>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</si>
  <si>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</si>
  <si>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</si>
  <si>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</si>
  <si>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</si>
  <si>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</si>
  <si>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</si>
  <si>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</si>
  <si>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</si>
  <si>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</si>
  <si>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</si>
  <si>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</si>
  <si>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</si>
  <si>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</si>
  <si>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</si>
  <si>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</si>
  <si>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</si>
  <si>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</si>
  <si>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</si>
  <si>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</si>
  <si>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</si>
  <si>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</si>
  <si>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</si>
  <si>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</si>
  <si>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</si>
  <si>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</si>
  <si>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</si>
  <si>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</si>
  <si>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</si>
  <si>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</si>
  <si>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</si>
  <si>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</si>
  <si>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</si>
  <si>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</si>
  <si>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</si>
  <si>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</si>
  <si>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</si>
  <si>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</si>
  <si>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</si>
  <si>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</si>
  <si>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</si>
  <si>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</si>
  <si>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</si>
  <si>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</si>
  <si>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</si>
  <si>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</si>
  <si>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</si>
  <si>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</si>
  <si>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</si>
  <si>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</si>
  <si>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</si>
  <si>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</si>
  <si>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</si>
  <si>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</si>
  <si>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</si>
  <si>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</si>
  <si>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</si>
  <si>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</si>
  <si>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</si>
  <si>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</si>
  <si>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</si>
  <si>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</si>
  <si>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</si>
  <si>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</si>
  <si>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</si>
  <si>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</si>
  <si>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</si>
  <si>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</si>
  <si>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</si>
  <si>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</si>
  <si>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</si>
  <si>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</si>
  <si>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</si>
  <si>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</si>
  <si>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</si>
  <si>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</si>
  <si>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</si>
  <si>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</si>
  <si>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</si>
  <si>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</si>
  <si>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</si>
  <si>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</si>
  <si>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</si>
  <si>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</si>
  <si>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</si>
  <si>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</si>
  <si>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</si>
  <si>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</si>
  <si>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</si>
  <si>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</si>
  <si>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</si>
  <si>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</si>
  <si>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</si>
  <si>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</si>
  <si>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</si>
  <si>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</si>
  <si>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</si>
  <si>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</si>
  <si>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</si>
  <si>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</si>
  <si>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</si>
  <si>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</si>
  <si>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</si>
  <si>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</si>
  <si>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</si>
  <si>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</si>
  <si>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</si>
  <si>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</si>
  <si>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</si>
  <si>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</si>
  <si>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</si>
  <si>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</si>
  <si>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</si>
  <si>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</si>
  <si>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</si>
  <si>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</si>
  <si>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</si>
  <si>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</si>
  <si>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</si>
  <si>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</si>
  <si>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</si>
  <si>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</si>
  <si>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</si>
  <si>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</si>
  <si>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</si>
  <si>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</si>
  <si>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</si>
  <si>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</si>
  <si>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</si>
  <si>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</si>
  <si>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</si>
  <si>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</si>
  <si>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</si>
  <si>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</si>
  <si>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</si>
  <si>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</si>
  <si>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</si>
  <si>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</si>
  <si>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</si>
  <si>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</si>
  <si>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</si>
  <si>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</si>
  <si>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</si>
  <si>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</si>
  <si>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</si>
  <si>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</si>
  <si>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</si>
  <si>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</si>
  <si>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</si>
  <si>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</si>
  <si>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</si>
  <si>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</si>
  <si>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</si>
  <si>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</si>
  <si>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</si>
  <si>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</si>
  <si>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</si>
  <si>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</si>
  <si>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</si>
  <si>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</si>
  <si>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</si>
  <si>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</si>
  <si>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</si>
  <si>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</si>
  <si>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</si>
  <si>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</si>
  <si>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</si>
  <si>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</si>
  <si>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</si>
  <si>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</si>
  <si>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</si>
  <si>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</si>
  <si>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</si>
  <si>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</si>
  <si>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</si>
  <si>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</si>
  <si>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</si>
  <si>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</si>
  <si>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</si>
  <si>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</si>
  <si>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</si>
  <si>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</si>
  <si>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</si>
  <si>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</si>
  <si>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</si>
  <si>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</si>
  <si>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</si>
  <si>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</si>
  <si>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</si>
  <si>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</si>
  <si>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</si>
  <si>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</si>
  <si>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</si>
  <si>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</si>
  <si>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</si>
  <si>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</si>
  <si>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</si>
  <si>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</si>
  <si>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</si>
  <si>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</si>
  <si>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</si>
  <si>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</si>
  <si>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</si>
  <si>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</si>
  <si>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</si>
  <si>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</si>
  <si>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</si>
  <si>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</si>
  <si>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</si>
  <si>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</si>
  <si>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</si>
  <si>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</si>
  <si>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</si>
  <si>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</si>
  <si>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</si>
  <si>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</si>
  <si>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</si>
  <si>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</si>
  <si>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</si>
  <si>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</si>
  <si>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</si>
  <si>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</si>
  <si>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</si>
  <si>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</si>
  <si>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</si>
  <si>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</si>
  <si>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</si>
  <si>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</si>
  <si>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</si>
  <si>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</si>
  <si>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</si>
  <si>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</si>
  <si>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</si>
  <si>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</si>
  <si>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</si>
  <si>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</si>
  <si>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</si>
  <si>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</si>
  <si>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</si>
  <si>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</si>
  <si>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</si>
  <si>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</si>
  <si>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</si>
  <si>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</si>
  <si>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</si>
  <si>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</si>
  <si>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</si>
  <si>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</si>
  <si>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</si>
  <si>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</si>
  <si>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</si>
  <si>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</si>
  <si>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</si>
  <si>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</si>
  <si>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</si>
  <si>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</si>
  <si>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</si>
  <si>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</si>
  <si>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</si>
  <si>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</si>
  <si>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</si>
  <si>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</si>
  <si>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</si>
  <si>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</si>
  <si>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</si>
  <si>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</si>
  <si>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</si>
  <si>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</si>
  <si>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</si>
  <si>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</si>
  <si>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</si>
  <si>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</si>
  <si>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</si>
  <si>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</si>
  <si>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</si>
  <si>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</si>
  <si>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</si>
  <si>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</si>
  <si>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</si>
  <si>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</si>
  <si>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</si>
  <si>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</si>
  <si>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</si>
  <si>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</si>
  <si>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</si>
  <si>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</si>
  <si>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</si>
  <si>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</si>
  <si>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</si>
  <si>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</si>
  <si>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</si>
  <si>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</si>
  <si>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</si>
  <si>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</si>
  <si>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</si>
  <si>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</si>
  <si>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</si>
  <si>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</si>
  <si>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</si>
  <si>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</si>
  <si>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</si>
  <si>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</si>
  <si>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</si>
  <si>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</si>
  <si>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</si>
  <si>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</si>
  <si>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</si>
  <si>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</si>
  <si>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</si>
  <si>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</si>
  <si>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</si>
  <si>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</si>
  <si>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</si>
  <si>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</si>
  <si>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</si>
  <si>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</si>
  <si>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</si>
  <si>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</si>
  <si>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</si>
  <si>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</si>
  <si>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</si>
  <si>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</si>
  <si>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</si>
  <si>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</si>
  <si>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</si>
  <si>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</si>
  <si>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</si>
  <si>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</si>
  <si>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</si>
  <si>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</si>
  <si>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</si>
  <si>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</si>
  <si>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</si>
  <si>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</si>
  <si>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</si>
  <si>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</si>
  <si>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</si>
  <si>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</si>
  <si>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</si>
  <si>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</si>
  <si>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</si>
  <si>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</si>
  <si>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</si>
  <si>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</si>
  <si>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</si>
  <si>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</si>
  <si>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</si>
  <si>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</si>
  <si>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</si>
  <si>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</si>
  <si>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</si>
  <si>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</si>
  <si>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</si>
  <si>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</si>
  <si>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</si>
  <si>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</si>
  <si>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</si>
  <si>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</si>
  <si>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</si>
  <si>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</si>
  <si>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</si>
  <si>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</si>
  <si>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</si>
  <si>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</si>
  <si>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</si>
  <si>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</si>
  <si>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</si>
  <si>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</si>
  <si>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</si>
  <si>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</si>
  <si>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</si>
  <si>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</si>
  <si>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</si>
  <si>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</si>
  <si>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</si>
  <si>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</si>
  <si>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</si>
  <si>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</si>
  <si>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</si>
  <si>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</si>
  <si>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</si>
  <si>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</si>
  <si>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</si>
  <si>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</si>
  <si>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</si>
  <si>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</si>
  <si>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</si>
  <si>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</si>
  <si>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</si>
  <si>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</si>
  <si>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</si>
  <si>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</si>
  <si>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</si>
  <si>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</si>
  <si>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</si>
  <si>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</si>
  <si>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</si>
  <si>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</si>
  <si>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</si>
  <si>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</si>
  <si>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</si>
  <si>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</si>
  <si>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</si>
  <si>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</si>
  <si>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</si>
  <si>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</si>
  <si>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</si>
  <si>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</si>
  <si>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</si>
  <si>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</si>
  <si>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</si>
  <si>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</si>
  <si>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</si>
  <si>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</si>
  <si>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</si>
  <si>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</si>
  <si>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</si>
  <si>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</si>
  <si>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</si>
  <si>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</si>
  <si>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</si>
  <si>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</si>
  <si>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</si>
  <si>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</si>
  <si>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</si>
  <si>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</si>
  <si>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</si>
  <si>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</si>
  <si>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</si>
  <si>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</si>
  <si>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</si>
  <si>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</si>
  <si>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</si>
  <si>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</si>
  <si>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</si>
  <si>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</si>
  <si>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</si>
  <si>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</si>
  <si>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</si>
  <si>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</si>
  <si>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</si>
  <si>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</si>
  <si>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</si>
  <si>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</si>
  <si>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</si>
  <si>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</si>
  <si>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</si>
  <si>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</si>
  <si>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</si>
  <si>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</si>
  <si>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</si>
  <si>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</si>
  <si>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</si>
  <si>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</si>
  <si>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</si>
  <si>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</si>
  <si>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</si>
  <si>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</si>
  <si>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</si>
  <si>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</si>
  <si>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</si>
  <si>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</si>
  <si>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</si>
  <si>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</si>
  <si>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</si>
  <si>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</si>
  <si>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</si>
  <si>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</si>
  <si>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</si>
  <si>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</si>
  <si>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</si>
  <si>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</si>
  <si>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</si>
  <si>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</si>
  <si>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</si>
  <si>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</si>
  <si>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</si>
  <si>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</si>
  <si>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</si>
  <si>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</si>
  <si>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</si>
  <si>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</si>
  <si>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</si>
  <si>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</si>
  <si>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</si>
  <si>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</si>
  <si>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</si>
  <si>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</si>
  <si>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</si>
  <si>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</si>
  <si>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</si>
  <si>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</si>
  <si>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</si>
  <si>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</si>
  <si>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</si>
  <si>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</si>
  <si>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</si>
  <si>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</si>
  <si>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</si>
  <si>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</si>
  <si>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</si>
  <si>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</si>
  <si>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</si>
  <si>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</si>
  <si>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</si>
  <si>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</si>
  <si>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</si>
  <si>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</si>
  <si>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</si>
  <si>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</si>
  <si>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</si>
  <si>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</si>
  <si>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</si>
  <si>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</si>
  <si>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</si>
  <si>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</si>
  <si>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</si>
  <si>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</si>
  <si>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</si>
  <si>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</si>
  <si>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</si>
  <si>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</si>
  <si>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</si>
  <si>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</si>
  <si>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</si>
  <si>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</si>
  <si>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</si>
  <si>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</si>
  <si>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</si>
  <si>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</si>
  <si>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</si>
  <si>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</si>
  <si>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</si>
  <si>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</si>
  <si>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</si>
  <si>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</si>
  <si>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</si>
  <si>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</si>
  <si>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</si>
  <si>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</si>
  <si>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</si>
  <si>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</si>
  <si>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</si>
  <si>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</si>
  <si>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</si>
  <si>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</si>
  <si>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</si>
  <si>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</si>
  <si>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</si>
  <si>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</si>
  <si>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</si>
  <si>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</si>
  <si>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</si>
  <si>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</si>
  <si>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</si>
  <si>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</si>
  <si>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</si>
  <si>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</si>
  <si>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</si>
  <si>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</si>
  <si>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</si>
  <si>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</si>
  <si>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</si>
  <si>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</si>
  <si>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</si>
  <si>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</si>
  <si>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</si>
  <si>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</si>
  <si>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</si>
  <si>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</si>
  <si>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</si>
  <si>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</si>
  <si>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</si>
  <si>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</si>
  <si>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</si>
  <si>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</si>
  <si>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</si>
  <si>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</si>
  <si>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</si>
  <si>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</si>
  <si>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</si>
  <si>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</si>
  <si>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</si>
  <si>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</si>
  <si>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</si>
  <si>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</si>
  <si>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</si>
  <si>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</si>
  <si>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</si>
  <si>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</si>
  <si>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</si>
  <si>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</si>
  <si>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</si>
  <si>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</si>
  <si>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</si>
  <si>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</si>
  <si>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</si>
  <si>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</si>
  <si>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</si>
  <si>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</si>
  <si>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</si>
  <si>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</si>
  <si>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</si>
  <si>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</si>
  <si>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</si>
  <si>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</si>
  <si>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</si>
  <si>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</si>
  <si>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</si>
  <si>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</si>
  <si>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</si>
  <si>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</si>
  <si>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</si>
  <si>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</si>
  <si>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</si>
  <si>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</si>
  <si>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</si>
  <si>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</si>
  <si>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</si>
  <si>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</si>
  <si>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</si>
  <si>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</si>
  <si>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</si>
  <si>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</si>
  <si>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</si>
  <si>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</si>
  <si>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</si>
  <si>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</si>
  <si>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</si>
  <si>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</si>
  <si>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</si>
  <si>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</si>
  <si>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</si>
  <si>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</si>
  <si>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</si>
  <si>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</si>
  <si>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</si>
  <si>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</si>
  <si>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</si>
  <si>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</si>
  <si>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</si>
  <si>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</si>
  <si>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</si>
  <si>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</si>
  <si>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</si>
  <si>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</si>
  <si>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</si>
  <si>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</si>
  <si>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</si>
  <si>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</si>
  <si>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</si>
  <si>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</si>
  <si>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</si>
  <si>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</si>
  <si>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</si>
  <si>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</si>
  <si>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</si>
  <si>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</si>
  <si>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</si>
  <si>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</si>
  <si>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</si>
  <si>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</si>
  <si>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</si>
  <si>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</si>
  <si>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</si>
  <si>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</si>
  <si>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</si>
  <si>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</si>
  <si>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</si>
  <si>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</si>
  <si>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</si>
  <si>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</si>
  <si>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</si>
  <si>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</si>
  <si>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</si>
  <si>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</si>
  <si>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</si>
  <si>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</si>
  <si>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</si>
  <si>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</si>
  <si>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</si>
  <si>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</si>
  <si>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</si>
  <si>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</si>
  <si>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</si>
  <si>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</si>
  <si>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</si>
  <si>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</si>
  <si>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</si>
  <si>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</si>
  <si>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</si>
  <si>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</si>
  <si>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</si>
  <si>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</si>
  <si>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</si>
  <si>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</si>
  <si>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</si>
  <si>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</si>
  <si>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</si>
  <si>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</si>
  <si>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</si>
  <si>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</si>
  <si>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</si>
  <si>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</si>
  <si>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</si>
  <si>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</si>
  <si>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</si>
  <si>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</si>
  <si>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</si>
  <si>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</si>
  <si>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</si>
  <si>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</si>
  <si>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</si>
  <si>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</si>
  <si>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</si>
  <si>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</si>
  <si>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</si>
  <si>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</si>
  <si>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</si>
  <si>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</si>
  <si>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</si>
  <si>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</si>
  <si>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</si>
  <si>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</si>
  <si>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</si>
  <si>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</si>
  <si>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</si>
  <si>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</si>
  <si>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</si>
  <si>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</si>
  <si>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</si>
  <si>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</si>
  <si>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</si>
  <si>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</si>
  <si>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</si>
  <si>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</si>
  <si>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</si>
  <si>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</si>
  <si>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</si>
  <si>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</si>
  <si>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</si>
  <si>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</si>
  <si>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</si>
  <si>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</si>
  <si>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</si>
  <si>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</si>
  <si>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</si>
  <si>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</si>
  <si>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</si>
  <si>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</si>
  <si>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</si>
  <si>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</si>
  <si>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</si>
  <si>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</si>
  <si>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</si>
  <si>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</si>
  <si>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</si>
  <si>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</si>
  <si>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</si>
  <si>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</si>
  <si>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</si>
  <si>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</si>
  <si>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</si>
  <si>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</si>
  <si>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</si>
  <si>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</si>
  <si>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</si>
  <si>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</si>
  <si>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</si>
  <si>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</si>
  <si>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</si>
  <si>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</si>
  <si>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</si>
  <si>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</si>
  <si>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</si>
  <si>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</si>
  <si>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</si>
  <si>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</si>
  <si>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</si>
  <si>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</si>
  <si>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</si>
  <si>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</si>
  <si>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</si>
  <si>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</si>
  <si>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</si>
  <si>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</si>
  <si>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</si>
  <si>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</si>
  <si>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</si>
  <si>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</si>
  <si>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</si>
  <si>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</si>
  <si>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</si>
  <si>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</si>
  <si>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</si>
  <si>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</si>
  <si>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</si>
  <si>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</si>
  <si>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</si>
  <si>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</si>
  <si>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</si>
  <si>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</si>
  <si>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</si>
  <si>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</si>
  <si>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</si>
  <si>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</si>
  <si>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</si>
  <si>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</si>
  <si>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</si>
  <si>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</si>
  <si>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</si>
  <si>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</si>
  <si>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</si>
  <si>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</si>
  <si>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</si>
  <si>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</si>
  <si>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</si>
  <si>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</si>
  <si>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</si>
  <si>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</si>
  <si>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</si>
  <si>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</si>
  <si>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</si>
  <si>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</si>
  <si>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</si>
  <si>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</si>
  <si>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</si>
  <si>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</si>
  <si>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</si>
  <si>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</si>
  <si>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</si>
  <si>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</si>
  <si>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</si>
  <si>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</si>
  <si>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</si>
  <si>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</si>
  <si>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</si>
  <si>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</si>
  <si>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</si>
  <si>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</si>
  <si>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</si>
  <si>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</si>
  <si>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</si>
  <si>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</si>
  <si>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</si>
  <si>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</si>
  <si>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</si>
  <si>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</si>
  <si>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</si>
  <si>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</si>
  <si>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</si>
  <si>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</si>
  <si>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</si>
  <si>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</si>
  <si>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</si>
  <si>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</si>
  <si>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</si>
  <si>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</si>
  <si>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</si>
  <si>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</si>
  <si>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</si>
  <si>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</si>
  <si>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</si>
  <si>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</si>
  <si>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</si>
  <si>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</si>
  <si>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</si>
  <si>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</si>
  <si>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</si>
  <si>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</si>
  <si>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</si>
  <si>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</si>
  <si>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</si>
  <si>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</si>
  <si>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</si>
  <si>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</si>
  <si>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</si>
  <si>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</si>
  <si>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</si>
  <si>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</si>
  <si>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</si>
  <si>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</si>
  <si>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</si>
  <si>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</si>
  <si>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</si>
  <si>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</si>
  <si>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</si>
  <si>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</si>
  <si>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</si>
  <si>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</si>
  <si>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</si>
  <si>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</si>
  <si>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</si>
  <si>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</si>
  <si>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</si>
  <si>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</si>
  <si>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</si>
  <si>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</si>
  <si>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</si>
  <si>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</si>
  <si>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</si>
  <si>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</si>
  <si>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</si>
  <si>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</si>
  <si>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</si>
  <si>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</si>
  <si>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</si>
  <si>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</si>
  <si>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</si>
  <si>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</si>
  <si>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</si>
  <si>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</si>
  <si>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</si>
  <si>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</si>
  <si>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</si>
  <si>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</si>
  <si>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</si>
  <si>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</si>
  <si>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</si>
  <si>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</si>
  <si>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</si>
  <si>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</si>
  <si>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</si>
  <si>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</si>
  <si>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</si>
  <si>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</si>
  <si>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</si>
  <si>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</si>
  <si>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</si>
  <si>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</si>
  <si>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</si>
  <si>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</si>
  <si>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</si>
  <si>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</si>
  <si>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</si>
  <si>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</si>
  <si>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</si>
  <si>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</si>
  <si>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</si>
  <si>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</si>
  <si>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</si>
  <si>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</si>
  <si>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</si>
  <si>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</si>
  <si>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</si>
  <si>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</si>
  <si>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</si>
  <si>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</si>
  <si>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</si>
  <si>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</si>
  <si>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</si>
  <si>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</si>
  <si>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</si>
  <si>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</si>
  <si>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</si>
  <si>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</si>
  <si>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</si>
  <si>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</si>
  <si>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</si>
  <si>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</si>
  <si>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</si>
  <si>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</si>
  <si>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</si>
  <si>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</si>
  <si>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</si>
  <si>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</si>
  <si>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</si>
  <si>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</si>
  <si>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</si>
  <si>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</si>
  <si>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</si>
  <si>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</si>
  <si>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</si>
  <si>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</si>
  <si>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</si>
  <si>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</si>
  <si>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</si>
  <si>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</si>
  <si>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</si>
  <si>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</si>
  <si>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</si>
  <si>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</si>
  <si>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</si>
  <si>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</si>
  <si>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</si>
  <si>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</si>
  <si>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</si>
  <si>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</si>
  <si>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</si>
  <si>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</si>
  <si>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</si>
  <si>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</si>
  <si>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</si>
  <si>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</si>
  <si>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</si>
  <si>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</si>
  <si>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</si>
  <si>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</si>
  <si>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</si>
  <si>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</si>
  <si>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</si>
  <si>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</si>
  <si>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</si>
  <si>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</si>
  <si>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</si>
  <si>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</si>
  <si>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</si>
  <si>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</si>
  <si>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</si>
  <si>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</si>
  <si>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</si>
  <si>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</si>
  <si>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</si>
  <si>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</si>
  <si>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</si>
  <si>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</si>
  <si>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</si>
  <si>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</si>
  <si>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</si>
  <si>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</si>
  <si>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</si>
  <si>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</si>
  <si>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</si>
  <si>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</si>
  <si>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</si>
  <si>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</si>
  <si>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</si>
  <si>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</si>
  <si>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</si>
  <si>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</si>
  <si>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</si>
  <si>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</si>
  <si>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</si>
  <si>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</si>
  <si>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</si>
  <si>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</si>
  <si>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</si>
  <si>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</si>
  <si>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</si>
  <si>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</si>
  <si>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</si>
  <si>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</si>
  <si>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</si>
  <si>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</si>
  <si>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</si>
  <si>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</si>
  <si>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</si>
  <si>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</si>
  <si>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</si>
  <si>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</si>
  <si>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</si>
  <si>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</si>
  <si>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</si>
  <si>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</si>
  <si>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</si>
  <si>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</si>
  <si>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</si>
  <si>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</si>
  <si>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</si>
  <si>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</si>
  <si>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</si>
  <si>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</si>
  <si>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</si>
  <si>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</si>
  <si>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</si>
  <si>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</si>
  <si>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</si>
  <si>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</si>
  <si>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</si>
  <si>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</si>
  <si>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</si>
  <si>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</si>
  <si>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</si>
  <si>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</si>
  <si>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</si>
  <si>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</si>
  <si>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</si>
  <si>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</si>
  <si>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</si>
  <si>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</si>
  <si>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</si>
  <si>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</si>
  <si>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</si>
  <si>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</si>
  <si>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</si>
  <si>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</si>
  <si>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</si>
  <si>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</si>
  <si>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</si>
  <si>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</si>
  <si>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</si>
  <si>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</si>
  <si>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</si>
  <si>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</si>
  <si>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</si>
  <si>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</si>
  <si>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</si>
  <si>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</si>
  <si>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</si>
  <si>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</si>
  <si>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</si>
  <si>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</si>
  <si>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</si>
  <si>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</si>
  <si>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</si>
  <si>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</si>
  <si>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</si>
  <si>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</si>
  <si>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</si>
  <si>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</si>
  <si>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</si>
  <si>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</si>
  <si>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</si>
  <si>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</si>
  <si>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</si>
  <si>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</si>
  <si>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</si>
  <si>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</si>
  <si>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</si>
  <si>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</si>
  <si>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</si>
  <si>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</si>
  <si>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</si>
  <si>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</si>
  <si>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</si>
  <si>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</si>
  <si>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</si>
  <si>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</si>
  <si>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</si>
  <si>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</si>
  <si>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</si>
  <si>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</si>
  <si>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</si>
  <si>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</si>
  <si>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</si>
  <si>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</si>
  <si>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</si>
  <si>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</si>
  <si>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</si>
  <si>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</si>
  <si>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</si>
  <si>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</si>
  <si>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</si>
  <si>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</si>
  <si>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</si>
  <si>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</si>
  <si>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</si>
  <si>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</si>
  <si>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</si>
  <si>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</si>
  <si>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</si>
  <si>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</si>
  <si>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</si>
  <si>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</si>
  <si>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</si>
  <si>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</si>
  <si>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</si>
  <si>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</si>
  <si>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</si>
  <si>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</si>
  <si>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</si>
  <si>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</si>
  <si>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</si>
  <si>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</si>
  <si>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</si>
  <si>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</si>
  <si>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</si>
  <si>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</si>
  <si>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</si>
  <si>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</si>
  <si>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</si>
  <si>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</si>
  <si>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</si>
  <si>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</si>
  <si>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</si>
  <si>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</si>
  <si>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</si>
  <si>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</si>
  <si>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</si>
  <si>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</si>
  <si>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</si>
  <si>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</si>
  <si>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</si>
  <si>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</si>
  <si>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</si>
  <si>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</si>
  <si>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</si>
  <si>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</si>
  <si>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</si>
  <si>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</si>
  <si>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</si>
  <si>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</si>
  <si>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</si>
  <si>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</si>
  <si>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</si>
  <si>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</si>
  <si>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</si>
  <si>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</si>
  <si>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</si>
  <si>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</si>
  <si>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</si>
  <si>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</si>
  <si>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</si>
  <si>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</si>
  <si>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</si>
  <si>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</si>
  <si>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</si>
  <si>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</si>
  <si>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</si>
  <si>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</si>
  <si>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</si>
  <si>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</si>
  <si>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</si>
  <si>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</si>
  <si>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</si>
  <si>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</si>
  <si>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</si>
  <si>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</si>
  <si>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</si>
  <si>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</si>
  <si>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</si>
  <si>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</si>
  <si>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</si>
  <si>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</si>
  <si>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</si>
  <si>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</si>
  <si>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</si>
  <si>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</si>
  <si>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</si>
  <si>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</si>
  <si>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</si>
  <si>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</si>
  <si>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</si>
  <si>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</si>
  <si>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</si>
  <si>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</si>
  <si>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</si>
  <si>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</si>
  <si>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</si>
  <si>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</si>
  <si>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</si>
  <si>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</si>
  <si>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</si>
  <si>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</si>
  <si>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</si>
  <si>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</si>
  <si>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</si>
  <si>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</si>
  <si>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</si>
  <si>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</si>
  <si>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</si>
  <si>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</si>
  <si>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</si>
  <si>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</si>
  <si>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</si>
  <si>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</si>
  <si>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</si>
  <si>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</si>
  <si>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</si>
  <si>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</si>
  <si>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</si>
  <si>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</si>
  <si>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</si>
  <si>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</si>
  <si>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</si>
  <si>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</si>
  <si>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</si>
  <si>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</si>
  <si>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</si>
  <si>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</si>
  <si>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</si>
  <si>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</si>
  <si>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</si>
  <si>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</si>
  <si>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</si>
  <si>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</si>
  <si>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</si>
  <si>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</si>
  <si>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</si>
  <si>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</si>
  <si>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</si>
  <si>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</si>
  <si>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</si>
  <si>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</si>
  <si>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</si>
  <si>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</si>
  <si>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</si>
  <si>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</si>
  <si>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</si>
  <si>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</si>
  <si>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</si>
  <si>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</si>
  <si>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</si>
  <si>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</si>
  <si>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</si>
  <si>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</si>
  <si>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</si>
  <si>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</si>
  <si>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</si>
  <si>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</si>
  <si>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</si>
  <si>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</si>
  <si>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</si>
  <si>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</si>
  <si>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</si>
  <si>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</si>
  <si>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</si>
  <si>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</si>
  <si>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</si>
  <si>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</si>
  <si>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</si>
  <si>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</si>
  <si>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</si>
  <si>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</si>
  <si>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</si>
  <si>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</si>
  <si>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</si>
  <si>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</si>
  <si>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</si>
  <si>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</si>
  <si>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</si>
  <si>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</si>
  <si>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</si>
  <si>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</si>
  <si>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</si>
  <si>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</si>
  <si>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</si>
  <si>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</si>
  <si>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</si>
  <si>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</si>
  <si>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</si>
  <si>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</si>
  <si>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</si>
  <si>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</si>
  <si>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</si>
  <si>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</si>
  <si>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</si>
  <si>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</si>
  <si>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</si>
  <si>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</si>
  <si>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</si>
  <si>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</si>
  <si>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</si>
  <si>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</si>
  <si>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</si>
  <si>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</si>
  <si>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</si>
  <si>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</si>
  <si>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</si>
  <si>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</si>
  <si>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</si>
  <si>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</si>
  <si>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</si>
  <si>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</si>
  <si>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</si>
  <si>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</si>
  <si>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</si>
  <si>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</si>
  <si>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</si>
  <si>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</si>
  <si>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</si>
  <si>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</si>
  <si>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</si>
  <si>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</si>
  <si>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</si>
  <si>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</si>
  <si>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</si>
  <si>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</si>
  <si>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</si>
  <si>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</si>
  <si>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</si>
  <si>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</si>
  <si>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</si>
  <si>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</si>
  <si>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</si>
  <si>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</si>
  <si>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</si>
  <si>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</si>
  <si>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</si>
  <si>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</si>
  <si>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</si>
  <si>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</si>
  <si>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</si>
  <si>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</si>
  <si>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</si>
  <si>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</si>
  <si>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</si>
  <si>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</si>
  <si>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</si>
  <si>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</si>
  <si>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</si>
  <si>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</si>
  <si>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</si>
  <si>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</si>
  <si>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</si>
  <si>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</si>
  <si>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</si>
  <si>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</si>
  <si>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</si>
  <si>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</si>
  <si>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</si>
  <si>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</si>
  <si>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</si>
  <si>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</si>
  <si>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</si>
  <si>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</si>
  <si>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</si>
  <si>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</si>
  <si>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</si>
  <si>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</si>
  <si>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</si>
  <si>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</si>
  <si>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</si>
  <si>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</si>
  <si>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</si>
  <si>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</si>
  <si>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</si>
  <si>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</si>
  <si>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</si>
  <si>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</si>
  <si>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</si>
  <si>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</si>
  <si>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</si>
  <si>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</si>
  <si>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</si>
  <si>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</si>
  <si>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</si>
  <si>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</si>
  <si>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</si>
  <si>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</si>
  <si>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</si>
  <si>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</si>
  <si>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</si>
  <si>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</si>
  <si>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</si>
  <si>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</si>
  <si>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</si>
  <si>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</si>
  <si>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</si>
  <si>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</si>
  <si>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</si>
  <si>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</si>
  <si>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</si>
  <si>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</si>
  <si>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</si>
  <si>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</si>
  <si>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</si>
  <si>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</si>
  <si>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</si>
  <si>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</si>
  <si>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</si>
  <si>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</si>
  <si>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</si>
  <si>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</si>
  <si>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</si>
  <si>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</si>
  <si>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</si>
  <si>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</si>
  <si>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</si>
  <si>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</si>
  <si>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</si>
  <si>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</si>
  <si>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</si>
  <si>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</si>
  <si>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</si>
  <si>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</si>
  <si>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</si>
  <si>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</si>
  <si>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</si>
  <si>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</si>
  <si>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</si>
  <si>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</si>
  <si>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</si>
  <si>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</si>
  <si>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</si>
  <si>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</si>
  <si>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</si>
  <si>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</si>
  <si>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</si>
  <si>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</si>
  <si>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</si>
  <si>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</si>
  <si>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</si>
  <si>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</si>
  <si>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</si>
  <si>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</si>
  <si>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</si>
  <si>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</si>
  <si>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</si>
  <si>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</si>
  <si>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</si>
  <si>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</si>
  <si>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</si>
  <si>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</si>
  <si>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</si>
  <si>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</si>
  <si>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</si>
  <si>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</si>
  <si>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</si>
  <si>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</si>
  <si>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</si>
  <si>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</si>
  <si>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</si>
  <si>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</si>
  <si>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</si>
  <si>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</si>
  <si>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</si>
  <si>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</si>
  <si>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</si>
  <si>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</si>
  <si>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</si>
  <si>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</si>
  <si>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</si>
  <si>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</si>
  <si>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</si>
  <si>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</si>
  <si>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</si>
  <si>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</si>
  <si>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</si>
  <si>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</si>
  <si>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</si>
  <si>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</si>
  <si>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</si>
  <si>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</si>
  <si>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</si>
  <si>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</si>
  <si>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</si>
  <si>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</si>
  <si>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</si>
  <si>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</si>
  <si>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</si>
  <si>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</si>
  <si>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</si>
  <si>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</si>
  <si>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</si>
  <si>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</si>
  <si>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</si>
  <si>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</si>
  <si>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</si>
  <si>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</si>
  <si>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</si>
  <si>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</si>
  <si>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</si>
  <si>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</si>
  <si>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</si>
  <si>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</si>
  <si>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</si>
  <si>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</si>
  <si>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</si>
  <si>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</si>
  <si>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</si>
  <si>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</si>
  <si>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</si>
  <si>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</si>
  <si>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</si>
  <si>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</si>
  <si>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</si>
  <si>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</si>
  <si>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</si>
  <si>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</si>
  <si>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</si>
  <si>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</si>
  <si>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</si>
  <si>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</si>
  <si>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</si>
  <si>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</si>
  <si>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</si>
  <si>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</si>
  <si>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</si>
  <si>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</si>
  <si>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</si>
  <si>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</si>
  <si>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</si>
  <si>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</si>
  <si>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</si>
  <si>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</si>
  <si>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</si>
  <si>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</si>
  <si>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</si>
  <si>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</si>
  <si>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</si>
  <si>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</si>
  <si>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</si>
  <si>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</si>
  <si>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</si>
  <si>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</si>
  <si>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</si>
  <si>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</si>
  <si>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</si>
  <si>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</si>
  <si>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</si>
  <si>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</si>
  <si>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</si>
  <si>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</si>
  <si>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</si>
  <si>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</si>
  <si>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</si>
  <si>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</si>
  <si>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</si>
  <si>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</si>
  <si>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</si>
  <si>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</si>
  <si>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</si>
  <si>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</si>
  <si>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</si>
  <si>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</si>
  <si>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</si>
  <si>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</si>
  <si>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</si>
  <si>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</si>
  <si>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</si>
  <si>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</si>
  <si>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</si>
  <si>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</si>
  <si>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</si>
  <si>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</si>
  <si>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</si>
  <si>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</si>
  <si>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</si>
  <si>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</si>
  <si>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</si>
  <si>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</si>
  <si>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</si>
  <si>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</si>
  <si>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</si>
  <si>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</si>
  <si>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</si>
  <si>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</si>
  <si>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</si>
  <si>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</si>
  <si>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</si>
  <si>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</si>
  <si>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</si>
  <si>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</si>
  <si>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</si>
  <si>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</si>
  <si>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</si>
  <si>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</si>
  <si>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</si>
  <si>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</si>
  <si>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</si>
  <si>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</si>
  <si>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</si>
  <si>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</si>
  <si>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</si>
  <si>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</si>
  <si>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</si>
  <si>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</si>
  <si>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</si>
  <si>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</si>
  <si>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</si>
  <si>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</si>
  <si>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</si>
  <si>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</si>
  <si>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</si>
  <si>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</si>
  <si>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</si>
  <si>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</si>
  <si>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</si>
  <si>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</si>
  <si>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</si>
  <si>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</si>
  <si>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</si>
  <si>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</si>
  <si>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</si>
  <si>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</si>
  <si>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</si>
  <si>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</si>
  <si>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</si>
  <si>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</si>
  <si>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</si>
  <si>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</si>
  <si>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</si>
  <si>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</si>
  <si>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</si>
  <si>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</si>
  <si>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</si>
  <si>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</si>
  <si>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</si>
  <si>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</si>
  <si>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</si>
  <si>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</si>
  <si>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</si>
  <si>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</si>
  <si>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</si>
  <si>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</si>
  <si>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</si>
  <si>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</si>
  <si>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</si>
  <si>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</si>
  <si>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</si>
  <si>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</si>
  <si>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</si>
  <si>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</si>
  <si>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</si>
  <si>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</si>
  <si>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</si>
  <si>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</si>
  <si>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</si>
  <si>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</si>
  <si>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</si>
  <si>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</si>
  <si>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</si>
  <si>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</si>
  <si>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</si>
  <si>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</si>
  <si>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</si>
  <si>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</si>
  <si>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</si>
  <si>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</si>
  <si>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</si>
  <si>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</si>
  <si>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</si>
  <si>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</si>
  <si>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</si>
  <si>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</si>
  <si>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</si>
  <si>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</si>
  <si>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</si>
  <si>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</si>
  <si>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</si>
  <si>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</si>
  <si>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</si>
  <si>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</si>
  <si>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</si>
  <si>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</si>
  <si>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</si>
  <si>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</si>
  <si>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</si>
  <si>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</si>
  <si>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</si>
  <si>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</si>
  <si>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</si>
  <si>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</si>
  <si>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</si>
  <si>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</si>
  <si>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</si>
  <si>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</si>
  <si>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</si>
  <si>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</si>
  <si>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</si>
  <si>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</si>
  <si>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</si>
  <si>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</si>
  <si>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</si>
  <si>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</si>
  <si>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</si>
  <si>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</si>
  <si>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</si>
  <si>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</si>
  <si>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</si>
  <si>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</si>
  <si>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</si>
  <si>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</si>
  <si>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</si>
  <si>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</si>
  <si>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</si>
  <si>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</si>
  <si>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</si>
  <si>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</si>
  <si>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</si>
  <si>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</si>
  <si>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</si>
  <si>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</si>
  <si>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</si>
  <si>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</si>
  <si>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</si>
  <si>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</si>
  <si>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</si>
  <si>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</si>
  <si>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</si>
  <si>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</si>
  <si>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</si>
  <si>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</si>
  <si>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</si>
  <si>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</si>
  <si>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</si>
  <si>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</si>
  <si>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</si>
  <si>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</si>
  <si>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</si>
  <si>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</si>
  <si>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</si>
  <si>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</si>
  <si>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</si>
  <si>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</si>
  <si>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</si>
  <si>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</si>
  <si>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</si>
  <si>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</si>
  <si>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</si>
  <si>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</si>
  <si>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</si>
  <si>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</si>
  <si>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</si>
  <si>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</si>
  <si>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</si>
  <si>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</si>
  <si>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</si>
  <si>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</si>
  <si>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</si>
  <si>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</si>
  <si>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</si>
  <si>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</si>
  <si>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</si>
  <si>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</si>
  <si>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</si>
  <si>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</si>
  <si>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</si>
  <si>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</si>
  <si>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</si>
  <si>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</si>
  <si>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</si>
  <si>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</si>
  <si>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</si>
  <si>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</si>
  <si>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</si>
  <si>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</si>
  <si>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</si>
  <si>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</si>
  <si>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</si>
  <si>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</si>
  <si>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</si>
  <si>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</si>
  <si>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</si>
  <si>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</si>
  <si>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</si>
  <si>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</si>
  <si>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</si>
  <si>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</si>
  <si>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</si>
  <si>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</si>
  <si>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</si>
  <si>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</si>
  <si>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</si>
  <si>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</si>
  <si>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</si>
  <si>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</si>
  <si>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</si>
  <si>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</si>
  <si>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</si>
  <si>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</si>
  <si>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</si>
  <si>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</si>
  <si>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</si>
  <si>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</si>
  <si>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</si>
  <si>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</si>
  <si>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</si>
  <si>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</si>
  <si>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</si>
  <si>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</si>
  <si>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</si>
  <si>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</si>
  <si>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</si>
  <si>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</si>
  <si>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</si>
  <si>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</si>
  <si>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</si>
  <si>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</si>
  <si>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</si>
  <si>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</si>
  <si>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</si>
  <si>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</si>
  <si>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</si>
  <si>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</si>
  <si>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</si>
  <si>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</si>
  <si>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</si>
  <si>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</si>
  <si>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</si>
  <si>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</si>
  <si>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</si>
  <si>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</si>
  <si>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</si>
  <si>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</si>
  <si>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</si>
  <si>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</si>
  <si>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</si>
  <si>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</si>
  <si>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</si>
  <si>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</si>
  <si>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</si>
  <si>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</si>
  <si>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</si>
  <si>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</si>
  <si>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</si>
  <si>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</si>
  <si>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</si>
  <si>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</si>
  <si>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</si>
  <si>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</si>
  <si>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</si>
  <si>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</si>
  <si>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</si>
  <si>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</si>
  <si>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</si>
  <si>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</si>
  <si>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</si>
  <si>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</si>
  <si>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</si>
  <si>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</si>
  <si>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</si>
  <si>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</si>
  <si>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</si>
  <si>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</si>
  <si>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</si>
  <si>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</si>
  <si>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</si>
  <si>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</si>
  <si>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</si>
  <si>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</si>
  <si>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</si>
  <si>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</si>
  <si>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</si>
  <si>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</si>
  <si>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</si>
  <si>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</si>
  <si>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</si>
  <si>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</si>
  <si>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</si>
  <si>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</si>
  <si>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</si>
  <si>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</si>
  <si>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</si>
  <si>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</si>
  <si>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</si>
  <si>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</si>
  <si>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</si>
  <si>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</si>
  <si>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</si>
  <si>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</si>
  <si>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</si>
  <si>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</si>
  <si>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</si>
  <si>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</si>
  <si>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</si>
  <si>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</si>
  <si>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</si>
  <si>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</si>
  <si>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</si>
  <si>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</si>
  <si>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</si>
  <si>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</si>
  <si>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</si>
  <si>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</si>
  <si>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</si>
  <si>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</si>
  <si>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</si>
  <si>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</si>
  <si>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</si>
  <si>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</si>
  <si>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</si>
  <si>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</si>
  <si>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</si>
  <si>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</si>
  <si>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</si>
  <si>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</si>
  <si>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</si>
  <si>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</si>
  <si>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</si>
  <si>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</si>
  <si>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</si>
  <si>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</si>
  <si>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</si>
  <si>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</si>
  <si>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</si>
  <si>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</si>
  <si>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</si>
  <si>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</si>
  <si>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</si>
  <si>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</si>
  <si>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</si>
  <si>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</si>
  <si>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</si>
  <si>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</si>
  <si>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</si>
  <si>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</si>
  <si>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</si>
  <si>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</si>
  <si>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</si>
  <si>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</si>
  <si>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</si>
  <si>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</si>
  <si>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</si>
  <si>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</si>
  <si>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</si>
  <si>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</si>
  <si>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</si>
  <si>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</si>
  <si>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</si>
  <si>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</si>
  <si>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</si>
  <si>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</si>
  <si>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</si>
  <si>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</si>
  <si>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</si>
  <si>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</si>
  <si>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</si>
  <si>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</si>
  <si>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</si>
  <si>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</si>
  <si>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</si>
  <si>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</si>
  <si>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</si>
  <si>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</si>
  <si>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</si>
  <si>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</si>
  <si>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</si>
  <si>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</si>
  <si>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</si>
  <si>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</si>
  <si>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</si>
  <si>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</si>
  <si>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</si>
  <si>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</si>
  <si>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</si>
  <si>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</si>
  <si>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</si>
  <si>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</si>
  <si>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</si>
  <si>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</si>
  <si>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</si>
  <si>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</si>
  <si>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</si>
  <si>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</si>
  <si>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</si>
  <si>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</si>
  <si>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</si>
  <si>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</si>
  <si>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</si>
  <si>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</si>
  <si>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</si>
  <si>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</si>
  <si>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</si>
  <si>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</si>
  <si>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</si>
  <si>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</si>
  <si>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</si>
  <si>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</si>
  <si>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</si>
  <si>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</si>
  <si>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</si>
  <si>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</si>
  <si>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</si>
  <si>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</si>
  <si>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</si>
  <si>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</si>
  <si>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</si>
  <si>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</si>
  <si>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</si>
  <si>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</si>
  <si>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</si>
  <si>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</si>
  <si>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</si>
  <si>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</si>
  <si>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</si>
  <si>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</si>
  <si>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</si>
  <si>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</si>
  <si>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</si>
  <si>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</si>
  <si>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</si>
  <si>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</si>
  <si>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</si>
  <si>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</si>
  <si>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</si>
  <si>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</si>
  <si>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</si>
  <si>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</si>
  <si>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</si>
  <si>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</si>
  <si>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</si>
  <si>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</si>
  <si>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</si>
  <si>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</si>
  <si>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</si>
  <si>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</si>
  <si>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</si>
  <si>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</si>
  <si>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</si>
  <si>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</si>
  <si>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</si>
  <si>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</si>
  <si>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</si>
  <si>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</si>
  <si>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</si>
  <si>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</si>
  <si>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</si>
  <si>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</si>
  <si>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</si>
  <si>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</si>
  <si>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</si>
  <si>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</si>
  <si>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</si>
  <si>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</si>
  <si>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</si>
  <si>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</si>
  <si>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</si>
  <si>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</si>
  <si>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</si>
  <si>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</si>
  <si>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</si>
  <si>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</si>
  <si>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</si>
  <si>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</si>
  <si>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</si>
  <si>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</si>
  <si>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</si>
  <si>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</si>
  <si>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</si>
  <si>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</si>
  <si>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</si>
  <si>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</si>
  <si>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</si>
  <si>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</si>
  <si>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</si>
  <si>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</si>
  <si>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</si>
  <si>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</si>
  <si>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</si>
  <si>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</si>
  <si>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</si>
  <si>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</si>
  <si>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</si>
  <si>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</si>
  <si>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</si>
  <si>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</si>
  <si>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</si>
  <si>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</si>
  <si>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</si>
  <si>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</si>
  <si>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</si>
  <si>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</si>
  <si>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</si>
  <si>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</si>
  <si>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</si>
  <si>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</si>
  <si>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</si>
  <si>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</si>
  <si>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</si>
  <si>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</si>
  <si>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</si>
  <si>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</si>
  <si>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</si>
  <si>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</si>
  <si>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</si>
  <si>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</si>
  <si>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</si>
  <si>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</si>
  <si>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</si>
  <si>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</si>
  <si>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</si>
  <si>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</si>
  <si>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</si>
  <si>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</si>
  <si>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</si>
  <si>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</si>
  <si>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</si>
  <si>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</si>
  <si>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</si>
  <si>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</si>
  <si>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</si>
  <si>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</si>
  <si>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</si>
  <si>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</si>
  <si>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</si>
  <si>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</si>
  <si>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</si>
  <si>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</si>
  <si>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</si>
  <si>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</si>
  <si>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</si>
  <si>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</si>
  <si>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</si>
  <si>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</si>
  <si>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</si>
  <si>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</si>
  <si>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</si>
  <si>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</si>
  <si>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</si>
  <si>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</si>
  <si>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</si>
  <si>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</si>
  <si>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</si>
  <si>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</si>
  <si>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</si>
  <si>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</si>
  <si>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</si>
  <si>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</si>
  <si>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</si>
  <si>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</si>
  <si>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</si>
  <si>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</si>
  <si>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</si>
  <si>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</si>
  <si>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</si>
  <si>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</si>
  <si>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</si>
  <si>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</si>
  <si>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</si>
  <si>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</si>
  <si>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</si>
  <si>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</si>
  <si>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</si>
  <si>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</si>
  <si>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</si>
  <si>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</si>
  <si>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</si>
  <si>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</si>
  <si>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</si>
  <si>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</si>
  <si>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</si>
  <si>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</si>
  <si>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</si>
  <si>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</si>
  <si>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</si>
  <si>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</si>
  <si>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</si>
  <si>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</si>
  <si>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</si>
  <si>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</si>
  <si>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</si>
  <si>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</si>
  <si>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</si>
  <si>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</si>
  <si>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</si>
  <si>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</si>
  <si>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</si>
  <si>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</si>
  <si>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</si>
  <si>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</si>
  <si>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</si>
  <si>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</si>
  <si>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</si>
  <si>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</si>
  <si>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</si>
  <si>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</si>
  <si>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</si>
  <si>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</si>
  <si>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</si>
  <si>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</si>
  <si>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</si>
  <si>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</si>
  <si>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</si>
  <si>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</si>
  <si>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</si>
  <si>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</si>
  <si>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</si>
  <si>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</si>
  <si>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</si>
  <si>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</si>
  <si>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</si>
  <si>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</si>
  <si>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</si>
  <si>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</si>
  <si>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</si>
  <si>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</si>
  <si>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</si>
  <si>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</si>
  <si>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</si>
  <si>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</si>
  <si>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</si>
  <si>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</si>
  <si>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</si>
  <si>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</si>
  <si>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</si>
  <si>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</si>
  <si>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</si>
  <si>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</si>
  <si>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</si>
  <si>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</si>
  <si>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</si>
  <si>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</si>
  <si>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</si>
  <si>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</si>
  <si>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</si>
  <si>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</si>
  <si>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</si>
  <si>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</si>
  <si>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</si>
  <si>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</si>
  <si>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</si>
  <si>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</si>
  <si>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</si>
  <si>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</si>
  <si>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</si>
  <si>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</si>
  <si>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</si>
  <si>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</si>
  <si>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</si>
  <si>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</si>
  <si>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</si>
  <si>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</si>
  <si>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</si>
  <si>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</si>
  <si>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</si>
  <si>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</si>
  <si>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</si>
  <si>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</si>
  <si>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</si>
  <si>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</si>
  <si>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</si>
  <si>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</si>
  <si>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</si>
  <si>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</si>
  <si>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</si>
  <si>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</si>
  <si>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</si>
  <si>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</si>
  <si>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</si>
  <si>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</si>
  <si>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</si>
  <si>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</si>
  <si>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</si>
  <si>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</si>
  <si>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</si>
  <si>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</si>
  <si>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</si>
  <si>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</si>
  <si>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</si>
  <si>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</si>
  <si>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</si>
  <si>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</si>
  <si>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</si>
  <si>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</si>
  <si>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</si>
  <si>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</si>
  <si>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</si>
  <si>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</si>
  <si>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</si>
  <si>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</si>
  <si>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</si>
  <si>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</si>
  <si>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</si>
  <si>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</si>
  <si>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</si>
  <si>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</si>
  <si>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</si>
  <si>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</si>
  <si>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</si>
  <si>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</si>
  <si>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</si>
  <si>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</si>
  <si>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</si>
  <si>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</si>
  <si>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</si>
  <si>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</si>
  <si>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</si>
  <si>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</si>
  <si>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</si>
  <si>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</si>
  <si>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</si>
  <si>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</si>
  <si>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</si>
  <si>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</si>
  <si>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</si>
  <si>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</si>
  <si>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</si>
  <si>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</si>
  <si>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</si>
  <si>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</si>
  <si>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</si>
  <si>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</si>
  <si>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</si>
  <si>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</si>
  <si>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</si>
  <si>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</si>
  <si>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</si>
  <si>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</si>
  <si>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</si>
  <si>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</si>
  <si>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</si>
  <si>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</si>
  <si>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</si>
  <si>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</si>
  <si>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</si>
  <si>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</si>
  <si>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</si>
  <si>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</si>
  <si>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</si>
  <si>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</si>
  <si>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</si>
  <si>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</si>
  <si>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</si>
  <si>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</si>
  <si>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</si>
  <si>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</si>
  <si>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</si>
  <si>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</si>
  <si>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</si>
  <si>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</si>
  <si>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</si>
  <si>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</si>
  <si>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</si>
  <si>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</si>
  <si>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</si>
  <si>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</si>
  <si>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</si>
  <si>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</si>
  <si>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</si>
  <si>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</si>
  <si>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</si>
  <si>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</si>
  <si>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</si>
  <si>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</si>
  <si>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</si>
  <si>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</si>
  <si>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</si>
  <si>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</si>
  <si>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</si>
  <si>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</si>
  <si>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</si>
  <si>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</si>
  <si>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</si>
  <si>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</si>
  <si>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</si>
  <si>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</si>
  <si>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</si>
  <si>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</si>
  <si>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</si>
  <si>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</si>
  <si>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</si>
  <si>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</si>
  <si>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</si>
  <si>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</si>
  <si>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</si>
  <si>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</si>
  <si>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</si>
  <si>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</si>
  <si>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</si>
  <si>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</si>
  <si>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</si>
  <si>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</si>
  <si>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</si>
  <si>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</si>
  <si>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</si>
  <si>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</si>
  <si>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</si>
  <si>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</si>
  <si>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</si>
  <si>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</si>
  <si>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</si>
  <si>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</si>
  <si>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</si>
  <si>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</si>
  <si>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</si>
  <si>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</si>
  <si>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</si>
  <si>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</si>
  <si>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</si>
  <si>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</si>
  <si>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</si>
  <si>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</si>
  <si>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</si>
  <si>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</si>
  <si>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</si>
  <si>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</si>
  <si>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</si>
  <si>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</si>
  <si>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</si>
  <si>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</si>
  <si>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</si>
  <si>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</si>
  <si>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</si>
  <si>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</si>
  <si>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</si>
  <si>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</si>
  <si>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</si>
  <si>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</si>
  <si>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</si>
  <si>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</si>
  <si>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</si>
  <si>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</si>
  <si>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</si>
  <si>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</si>
  <si>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</si>
  <si>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</si>
  <si>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</si>
  <si>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</si>
  <si>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</si>
  <si>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</si>
  <si>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</si>
  <si>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</si>
  <si>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</si>
  <si>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</si>
  <si>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</si>
  <si>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</si>
  <si>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</si>
  <si>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</si>
  <si>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</si>
  <si>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</si>
  <si>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</si>
  <si>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</si>
  <si>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</si>
  <si>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</si>
  <si>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</si>
  <si>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</si>
  <si>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</si>
  <si>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</si>
  <si>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</si>
  <si>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</si>
  <si>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</si>
  <si>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</si>
  <si>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</si>
  <si>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</si>
  <si>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</si>
  <si>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</si>
  <si>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</si>
  <si>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</si>
  <si>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</si>
  <si>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</si>
  <si>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</si>
  <si>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</si>
  <si>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</si>
  <si>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</si>
  <si>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</si>
  <si>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</si>
  <si>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</si>
  <si>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</si>
  <si>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</si>
  <si>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</si>
  <si>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</si>
  <si>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</si>
  <si>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</si>
  <si>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</si>
  <si>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</si>
  <si>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</si>
  <si>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</si>
  <si>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</si>
  <si>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</si>
  <si>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</si>
  <si>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</si>
  <si>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</si>
  <si>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</si>
  <si>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</si>
  <si>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</si>
  <si>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</si>
  <si>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</si>
  <si>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</si>
  <si>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</si>
  <si>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</si>
  <si>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</si>
  <si>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</si>
  <si>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</si>
  <si>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</si>
  <si>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</si>
  <si>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</si>
  <si>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</si>
  <si>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</si>
  <si>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</si>
  <si>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</si>
  <si>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</si>
  <si>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</si>
  <si>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</si>
  <si>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</si>
  <si>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</si>
  <si>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</si>
  <si>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</si>
  <si>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</si>
  <si>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</si>
  <si>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</si>
  <si>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</si>
  <si>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</si>
  <si>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</si>
  <si>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</si>
  <si>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</si>
  <si>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</si>
  <si>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</si>
  <si>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</si>
  <si>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</si>
  <si>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</si>
  <si>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</si>
  <si>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</si>
  <si>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</si>
  <si>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</si>
  <si>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</si>
  <si>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</si>
  <si>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</si>
  <si>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</si>
  <si>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</si>
  <si>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</si>
  <si>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</si>
  <si>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</si>
  <si>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</si>
  <si>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</si>
  <si>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</si>
  <si>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</si>
  <si>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</si>
  <si>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</si>
  <si>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</si>
  <si>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</si>
  <si>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</si>
  <si>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</si>
  <si>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</si>
  <si>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</si>
  <si>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</si>
  <si>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</si>
  <si>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</si>
  <si>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</si>
  <si>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</si>
  <si>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</si>
  <si>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</si>
  <si>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</si>
  <si>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</si>
  <si>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</si>
  <si>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</si>
  <si>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</si>
  <si>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</si>
  <si>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</si>
  <si>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</si>
  <si>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</si>
  <si>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</si>
  <si>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</si>
  <si>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</si>
  <si>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</si>
  <si>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</si>
  <si>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</si>
  <si>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</si>
  <si>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</si>
  <si>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</si>
  <si>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</si>
  <si>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</si>
  <si>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</si>
  <si>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</si>
  <si>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</si>
  <si>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</si>
  <si>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</si>
  <si>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</si>
  <si>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</si>
  <si>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</si>
  <si>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</si>
  <si>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</si>
  <si>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</si>
  <si>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</si>
  <si>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</si>
  <si>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</si>
  <si>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</si>
  <si>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</si>
  <si>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</si>
  <si>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</si>
  <si>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</si>
  <si>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</si>
  <si>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</si>
  <si>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</si>
  <si>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</si>
  <si>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</si>
  <si>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</si>
  <si>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</si>
  <si>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</si>
  <si>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</si>
  <si>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</si>
  <si>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</si>
  <si>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</si>
  <si>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</si>
  <si>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</si>
  <si>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</si>
  <si>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</si>
  <si>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</si>
  <si>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</si>
  <si>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</si>
  <si>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</si>
  <si>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</si>
  <si>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</si>
  <si>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</si>
  <si>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</si>
  <si>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</si>
  <si>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</si>
  <si>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</si>
  <si>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</si>
  <si>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</si>
  <si>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</si>
  <si>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</si>
  <si>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</si>
  <si>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</si>
  <si>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</si>
  <si>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</si>
  <si>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</si>
  <si>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</si>
  <si>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</si>
  <si>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</si>
  <si>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</si>
  <si>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</si>
  <si>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</si>
  <si>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</si>
  <si>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</si>
  <si>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</si>
  <si>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</si>
  <si>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</si>
  <si>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</si>
  <si>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</si>
  <si>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</si>
  <si>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</si>
  <si>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</si>
  <si>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</si>
  <si>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</si>
  <si>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</si>
  <si>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</si>
  <si>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</si>
  <si>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</si>
  <si>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</si>
  <si>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</si>
  <si>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</si>
  <si>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</si>
  <si>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</si>
  <si>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</si>
  <si>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</si>
  <si>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</si>
  <si>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</si>
  <si>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</si>
  <si>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</si>
  <si>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</si>
  <si>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</si>
  <si>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</si>
  <si>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</si>
  <si>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</si>
  <si>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</si>
  <si>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</si>
  <si>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</si>
  <si>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</si>
  <si>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</si>
  <si>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</si>
  <si>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</si>
  <si>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</si>
  <si>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</si>
  <si>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</si>
  <si>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</si>
  <si>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</si>
  <si>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</si>
  <si>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</si>
  <si>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</si>
  <si>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</si>
  <si>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</si>
  <si>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</si>
  <si>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</si>
  <si>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</si>
  <si>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</si>
  <si>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</si>
  <si>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</si>
  <si>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</si>
  <si>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</si>
  <si>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</si>
  <si>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</si>
  <si>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</si>
  <si>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</si>
  <si>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</si>
  <si>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</si>
  <si>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</si>
  <si>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</si>
  <si>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</si>
  <si>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</si>
  <si>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</si>
  <si>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</si>
  <si>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</si>
  <si>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</si>
  <si>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</si>
  <si>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</si>
  <si>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</si>
  <si>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</si>
  <si>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</si>
  <si>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</si>
  <si>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</si>
  <si>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</si>
  <si>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</si>
  <si>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</si>
  <si>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</si>
  <si>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</si>
  <si>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</si>
  <si>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</si>
  <si>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</si>
  <si>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</si>
  <si>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</si>
  <si>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</si>
  <si>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</si>
  <si>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</si>
  <si>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</si>
  <si>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</si>
  <si>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</si>
  <si>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</si>
  <si>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</si>
  <si>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</si>
  <si>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</si>
  <si>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</si>
  <si>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</si>
  <si>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</si>
  <si>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</si>
  <si>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</si>
  <si>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</si>
  <si>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</si>
  <si>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</si>
  <si>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</si>
  <si>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</si>
  <si>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</si>
  <si>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</si>
  <si>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</si>
  <si>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</si>
  <si>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</si>
  <si>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</si>
  <si>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</si>
  <si>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</si>
  <si>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</si>
  <si>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</si>
  <si>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</si>
  <si>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</si>
  <si>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</si>
  <si>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</si>
  <si>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</si>
  <si>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</si>
  <si>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</si>
  <si>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</si>
  <si>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</si>
  <si>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</si>
  <si>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</si>
  <si>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</si>
  <si>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</si>
  <si>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</si>
  <si>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</si>
  <si>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</si>
  <si>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</si>
  <si>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</si>
  <si>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</si>
  <si>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</si>
  <si>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</si>
  <si>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</si>
  <si>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</si>
  <si>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</si>
  <si>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</si>
  <si>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</si>
  <si>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</si>
  <si>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</si>
  <si>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</si>
  <si>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</si>
  <si>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</si>
  <si>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</si>
  <si>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</si>
  <si>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</si>
  <si>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</si>
  <si>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</si>
  <si>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</si>
  <si>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</si>
  <si>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</si>
  <si>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</si>
  <si>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</si>
  <si>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</si>
  <si>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</si>
  <si>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</si>
  <si>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</si>
  <si>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</si>
  <si>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</si>
  <si>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</si>
  <si>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</si>
  <si>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</si>
  <si>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</si>
  <si>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</si>
  <si>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</si>
  <si>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</si>
  <si>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</si>
  <si>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</si>
  <si>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</si>
  <si>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</si>
  <si>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</si>
  <si>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</si>
  <si>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</si>
  <si>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</si>
  <si>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</si>
  <si>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</si>
  <si>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</si>
  <si>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</si>
  <si>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</si>
  <si>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</si>
  <si>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</si>
  <si>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</si>
  <si>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</si>
  <si>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</si>
  <si>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</si>
  <si>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</si>
  <si>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</si>
  <si>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</si>
  <si>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</si>
  <si>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</si>
  <si>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</si>
  <si>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</si>
  <si>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</si>
  <si>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</si>
  <si>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</si>
  <si>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</si>
  <si>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</si>
  <si>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</si>
  <si>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</si>
  <si>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</si>
  <si>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</si>
  <si>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</si>
  <si>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</si>
  <si>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</si>
  <si>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</si>
  <si>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</si>
  <si>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</si>
  <si>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</si>
  <si>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</si>
  <si>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</si>
  <si>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</si>
  <si>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</si>
  <si>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</si>
  <si>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</si>
  <si>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</si>
  <si>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</si>
  <si>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</si>
  <si>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</si>
  <si>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</si>
  <si>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</si>
  <si>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</si>
  <si>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</si>
  <si>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</si>
  <si>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</si>
  <si>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</si>
  <si>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</si>
  <si>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</si>
  <si>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</si>
  <si>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</si>
  <si>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</si>
  <si>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</si>
  <si>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</si>
  <si>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</si>
  <si>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</si>
  <si>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</si>
  <si>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</si>
  <si>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</si>
  <si>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</si>
  <si>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</si>
  <si>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</si>
  <si>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</si>
  <si>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</si>
  <si>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</si>
  <si>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</si>
  <si>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</si>
  <si>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</si>
  <si>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</si>
  <si>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</si>
  <si>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</si>
  <si>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</si>
  <si>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</si>
  <si>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</si>
  <si>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</si>
  <si>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</si>
  <si>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</si>
  <si>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</si>
  <si>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</si>
  <si>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</si>
  <si>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</si>
  <si>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</si>
  <si>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</si>
  <si>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</si>
  <si>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</si>
  <si>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</si>
  <si>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</si>
  <si>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</si>
  <si>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</si>
  <si>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</si>
  <si>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</si>
  <si>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</si>
  <si>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</si>
  <si>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</si>
  <si>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</si>
  <si>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</si>
  <si>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</si>
  <si>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</si>
  <si>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</si>
  <si>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</si>
  <si>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</si>
  <si>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</si>
  <si>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</si>
  <si>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</si>
  <si>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</si>
  <si>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</si>
  <si>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</si>
  <si>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</si>
  <si>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</si>
  <si>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</si>
  <si>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</si>
  <si>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</si>
  <si>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</si>
  <si>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</si>
  <si>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</si>
  <si>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</si>
  <si>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</si>
  <si>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</si>
  <si>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</si>
  <si>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</si>
  <si>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</si>
  <si>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</si>
  <si>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</si>
  <si>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</si>
  <si>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</si>
  <si>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</si>
  <si>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</si>
  <si>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</si>
  <si>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</si>
  <si>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</si>
  <si>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</si>
  <si>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</si>
  <si>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</si>
  <si>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</si>
  <si>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</si>
  <si>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</si>
  <si>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</si>
  <si>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</si>
  <si>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</si>
  <si>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</si>
  <si>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</si>
  <si>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</si>
  <si>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</si>
  <si>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</si>
  <si>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</si>
  <si>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</si>
  <si>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</si>
  <si>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</si>
  <si>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</si>
  <si>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</si>
  <si>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</si>
  <si>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</si>
  <si>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</si>
  <si>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</si>
  <si>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</si>
  <si>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</si>
  <si>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</si>
  <si>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</si>
  <si>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</si>
  <si>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</si>
  <si>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</si>
  <si>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</si>
  <si>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</si>
  <si>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</si>
  <si>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</si>
  <si>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</si>
  <si>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</si>
  <si>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</si>
  <si>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</si>
  <si>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</si>
  <si>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</si>
  <si>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</si>
  <si>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</si>
  <si>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</si>
  <si>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</si>
  <si>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</si>
  <si>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</si>
  <si>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</si>
  <si>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</si>
  <si>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</si>
  <si>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</si>
  <si>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</si>
  <si>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</si>
  <si>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</si>
  <si>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</si>
  <si>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</si>
  <si>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</si>
  <si>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</si>
  <si>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</si>
  <si>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</si>
  <si>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</si>
  <si>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</si>
  <si>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</si>
  <si>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</si>
  <si>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</si>
  <si>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</si>
  <si>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</si>
  <si>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</si>
  <si>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</si>
  <si>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</si>
  <si>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</si>
  <si>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</si>
  <si>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</si>
  <si>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</si>
  <si>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</si>
  <si>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</si>
  <si>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</si>
  <si>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</si>
  <si>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</si>
  <si>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</si>
  <si>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</si>
  <si>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</si>
  <si>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</si>
  <si>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</si>
  <si>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</si>
  <si>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</si>
  <si>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</si>
  <si>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</si>
  <si>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</si>
  <si>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</si>
  <si>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</si>
  <si>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</si>
  <si>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</si>
  <si>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</si>
  <si>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</si>
  <si>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</si>
  <si>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</si>
  <si>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</si>
  <si>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</si>
  <si>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</si>
  <si>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</si>
  <si>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</si>
  <si>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</si>
  <si>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</si>
  <si>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</si>
  <si>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</si>
  <si>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</si>
  <si>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</si>
  <si>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</si>
  <si>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</si>
  <si>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</si>
  <si>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</si>
  <si>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</si>
  <si>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</si>
  <si>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</si>
  <si>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</si>
  <si>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</si>
  <si>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</si>
  <si>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</si>
  <si>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</si>
  <si>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</si>
  <si>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</si>
  <si>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</si>
  <si>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</si>
  <si>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</si>
  <si>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</si>
  <si>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</si>
  <si>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</si>
  <si>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</si>
  <si>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</si>
  <si>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</si>
  <si>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</si>
  <si>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</si>
  <si>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</si>
  <si>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</si>
  <si>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</si>
  <si>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</si>
  <si>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</si>
  <si>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</si>
  <si>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</si>
  <si>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</si>
  <si>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</si>
  <si>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</si>
  <si>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</si>
  <si>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</si>
  <si>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</si>
  <si>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</si>
  <si>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</si>
  <si>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</si>
  <si>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</si>
  <si>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</si>
  <si>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</si>
  <si>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</si>
  <si>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</si>
  <si>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</si>
  <si>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</si>
  <si>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</si>
  <si>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</si>
  <si>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</si>
  <si>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</si>
  <si>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</si>
  <si>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</si>
  <si>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</si>
  <si>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</si>
  <si>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</si>
  <si>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</si>
  <si>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</si>
  <si>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</si>
  <si>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</si>
  <si>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</si>
  <si>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</si>
  <si>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</si>
  <si>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</si>
  <si>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</si>
  <si>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</si>
  <si>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</si>
  <si>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</si>
  <si>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</si>
  <si>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</si>
  <si>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</si>
  <si>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</si>
  <si>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</si>
  <si>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</si>
  <si>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</si>
  <si>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</si>
  <si>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</si>
  <si>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</si>
  <si>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</si>
  <si>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</si>
  <si>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</si>
  <si>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</si>
  <si>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</si>
  <si>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</si>
  <si>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</si>
  <si>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</si>
  <si>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</si>
  <si>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</si>
  <si>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</si>
  <si>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</si>
  <si>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</si>
  <si>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</si>
  <si>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</si>
  <si>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</si>
  <si>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</si>
  <si>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</si>
  <si>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</si>
  <si>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</si>
  <si>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</si>
  <si>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</si>
  <si>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</si>
  <si>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</si>
  <si>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</si>
  <si>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</si>
  <si>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</si>
  <si>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</si>
  <si>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</si>
  <si>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</si>
  <si>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</si>
  <si>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</si>
  <si>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</si>
  <si>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</si>
  <si>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</si>
  <si>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</si>
  <si>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</si>
  <si>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</si>
  <si>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</si>
  <si>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</si>
  <si>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</si>
  <si>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</si>
  <si>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</si>
  <si>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</si>
  <si>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</si>
  <si>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</si>
  <si>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</si>
  <si>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</si>
  <si>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</si>
  <si>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</si>
  <si>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</si>
  <si>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</si>
  <si>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</si>
  <si>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</si>
  <si>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</si>
  <si>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</si>
  <si>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</si>
  <si>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</si>
  <si>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</si>
  <si>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</si>
  <si>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</si>
  <si>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</si>
  <si>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</si>
  <si>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</si>
  <si>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</si>
  <si>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</si>
  <si>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</si>
  <si>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</si>
  <si>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</si>
  <si>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</si>
  <si>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</si>
  <si>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</si>
  <si>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</si>
  <si>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</si>
  <si>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</si>
  <si>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</si>
  <si>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</si>
  <si>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</si>
  <si>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</si>
  <si>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</si>
  <si>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</si>
  <si>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</si>
  <si>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</si>
  <si>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</si>
  <si>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</si>
  <si>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</si>
  <si>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</si>
  <si>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</si>
  <si>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</si>
  <si>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</si>
  <si>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</si>
  <si>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</si>
  <si>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</si>
  <si>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</si>
  <si>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</si>
  <si>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</si>
  <si>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</si>
  <si>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</si>
  <si>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</si>
  <si>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</si>
  <si>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</si>
  <si>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</si>
  <si>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</si>
  <si>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</si>
  <si>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</si>
  <si>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</si>
  <si>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</si>
  <si>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</si>
  <si>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</si>
  <si>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</si>
  <si>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</si>
  <si>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</si>
  <si>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</si>
  <si>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</si>
  <si>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</si>
  <si>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</si>
  <si>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</si>
  <si>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</si>
  <si>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</si>
  <si>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</si>
  <si>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</si>
  <si>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</si>
  <si>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</si>
  <si>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</si>
  <si>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</si>
  <si>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</si>
  <si>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</si>
  <si>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</si>
  <si>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</si>
  <si>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</si>
  <si>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</si>
  <si>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</si>
  <si>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</si>
  <si>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</si>
  <si>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</si>
  <si>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</si>
  <si>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</si>
  <si>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</si>
  <si>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</si>
  <si>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</si>
  <si>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</si>
  <si>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</si>
  <si>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</si>
  <si>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</si>
  <si>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</si>
  <si>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</si>
  <si>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</si>
  <si>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</si>
  <si>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</si>
  <si>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</si>
  <si>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</si>
  <si>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</si>
  <si>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</si>
  <si>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</si>
  <si>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</si>
  <si>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</si>
  <si>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</si>
  <si>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</si>
  <si>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</si>
  <si>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</si>
  <si>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</si>
  <si>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</si>
  <si>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</si>
  <si>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</si>
  <si>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</si>
  <si>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</si>
  <si>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</si>
  <si>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</si>
  <si>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</si>
  <si>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</si>
  <si>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</si>
  <si>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</si>
  <si>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</si>
  <si>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</si>
  <si>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</si>
  <si>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</si>
  <si>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</si>
  <si>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</si>
  <si>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</si>
  <si>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</si>
  <si>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</si>
  <si>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</si>
  <si>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</si>
  <si>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</si>
  <si>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</si>
  <si>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</si>
  <si>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</si>
  <si>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</si>
  <si>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</si>
  <si>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</si>
  <si>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</si>
  <si>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</si>
  <si>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</si>
  <si>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</si>
  <si>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</si>
  <si>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</si>
  <si>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</si>
  <si>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</si>
  <si>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</si>
  <si>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</si>
  <si>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</si>
  <si>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</si>
  <si>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</si>
  <si>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</si>
  <si>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</si>
  <si>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</si>
  <si>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</si>
  <si>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</si>
  <si>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</si>
  <si>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</si>
  <si>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</si>
  <si>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</si>
  <si>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</si>
  <si>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</si>
  <si>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</si>
  <si>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</si>
  <si>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</si>
  <si>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</si>
  <si>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</si>
  <si>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</si>
  <si>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</si>
  <si>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</si>
  <si>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</si>
  <si>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</si>
  <si>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</si>
  <si>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</si>
  <si>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</si>
  <si>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</si>
  <si>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</si>
  <si>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</si>
  <si>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</si>
  <si>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</si>
  <si>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</si>
  <si>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</si>
  <si>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</si>
  <si>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</si>
  <si>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</si>
  <si>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</si>
  <si>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</si>
  <si>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</si>
  <si>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</si>
  <si>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</si>
  <si>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</si>
  <si>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</si>
  <si>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</si>
  <si>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</si>
  <si>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</si>
  <si>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</si>
  <si>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</si>
  <si>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</si>
  <si>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</si>
  <si>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</si>
  <si>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</si>
  <si>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</si>
  <si>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</si>
  <si>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</si>
  <si>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</si>
  <si>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</si>
  <si>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</si>
  <si>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</si>
  <si>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</si>
  <si>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</si>
  <si>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</si>
  <si>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</si>
  <si>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</si>
  <si>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</si>
  <si>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</si>
  <si>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</si>
  <si>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</si>
  <si>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</si>
  <si>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</si>
  <si>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</si>
  <si>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</si>
  <si>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</si>
  <si>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</si>
  <si>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</si>
  <si>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</si>
  <si>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</si>
  <si>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</si>
  <si>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</si>
  <si>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</si>
  <si>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</si>
  <si>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</si>
  <si>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</si>
  <si>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</si>
  <si>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</si>
  <si>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</si>
  <si>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</si>
  <si>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</si>
  <si>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</si>
  <si>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</si>
  <si>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</si>
  <si>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</si>
  <si>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</si>
  <si>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</si>
  <si>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</si>
  <si>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</si>
  <si>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</si>
  <si>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</si>
  <si>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</si>
  <si>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</si>
  <si>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</si>
  <si>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</si>
  <si>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</si>
  <si>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</si>
  <si>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</si>
  <si>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</si>
  <si>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</si>
  <si>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</si>
  <si>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</si>
  <si>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</si>
  <si>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</si>
  <si>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</si>
  <si>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</si>
  <si>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</si>
  <si>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</si>
  <si>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</si>
  <si>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</si>
  <si>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</si>
  <si>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</si>
  <si>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</si>
  <si>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</si>
  <si>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</si>
  <si>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</si>
  <si>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</si>
  <si>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</si>
  <si>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</si>
  <si>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</si>
  <si>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</si>
  <si>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</si>
  <si>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</si>
  <si>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</si>
  <si>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</si>
  <si>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</si>
  <si>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</si>
  <si>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</si>
  <si>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</si>
  <si>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</si>
  <si>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</si>
  <si>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</si>
  <si>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</si>
  <si>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</si>
  <si>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</si>
  <si>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</si>
  <si>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</si>
  <si>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</si>
  <si>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</si>
  <si>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</si>
  <si>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</si>
  <si>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</si>
  <si>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</si>
  <si>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</si>
  <si>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</si>
  <si>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</si>
  <si>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</si>
  <si>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</si>
  <si>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</si>
  <si>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</si>
  <si>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</si>
  <si>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</si>
  <si>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</si>
  <si>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</si>
  <si>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</si>
  <si>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</si>
  <si>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</si>
  <si>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</si>
  <si>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</si>
  <si>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</si>
  <si>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</si>
  <si>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</si>
  <si>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</si>
  <si>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</si>
  <si>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</si>
  <si>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</si>
  <si>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</si>
  <si>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</si>
  <si>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</si>
  <si>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</si>
  <si>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</si>
  <si>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</si>
  <si>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</si>
  <si>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</si>
  <si>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</si>
  <si>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</si>
  <si>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</si>
  <si>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</si>
  <si>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</si>
  <si>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</si>
  <si>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</si>
  <si>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</si>
  <si>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</si>
  <si>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</si>
  <si>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</si>
  <si>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</si>
  <si>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</si>
  <si>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</si>
  <si>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</si>
  <si>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</si>
  <si>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</si>
  <si>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</si>
  <si>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</si>
  <si>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</si>
  <si>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</si>
  <si>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</si>
  <si>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</si>
  <si>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</si>
  <si>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</si>
  <si>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</si>
  <si>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</si>
  <si>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</si>
  <si>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</si>
  <si>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</si>
  <si>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</si>
  <si>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</si>
  <si>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</si>
  <si>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</si>
  <si>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</si>
  <si>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</si>
  <si>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</si>
  <si>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</si>
  <si>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</si>
  <si>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</si>
  <si>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</si>
  <si>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</si>
  <si>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</si>
  <si>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</si>
  <si>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</si>
  <si>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</si>
  <si>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</si>
  <si>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</si>
  <si>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</si>
  <si>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</si>
  <si>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</si>
  <si>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</si>
  <si>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</si>
  <si>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</si>
  <si>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</si>
  <si>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</si>
  <si>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</si>
  <si>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</si>
  <si>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</si>
  <si>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</si>
  <si>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</si>
  <si>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</si>
  <si>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</si>
  <si>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</si>
  <si>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</si>
  <si>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</si>
  <si>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</si>
  <si>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</si>
  <si>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</si>
  <si>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</si>
  <si>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</si>
  <si>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</si>
  <si>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</si>
  <si>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</si>
  <si>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</si>
  <si>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</si>
  <si>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</si>
  <si>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</si>
  <si>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</si>
  <si>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</si>
  <si>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</si>
  <si>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</si>
  <si>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</si>
  <si>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</si>
  <si>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</si>
  <si>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</si>
  <si>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</si>
  <si>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</si>
  <si>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</si>
  <si>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</si>
  <si>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</si>
  <si>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</si>
  <si>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</si>
  <si>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</si>
  <si>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</si>
  <si>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</si>
  <si>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</si>
  <si>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</si>
  <si>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</si>
  <si>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</si>
  <si>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</si>
  <si>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</si>
  <si>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</si>
  <si>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</si>
  <si>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</si>
  <si>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</si>
  <si>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</si>
  <si>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</si>
  <si>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</si>
  <si>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</si>
  <si>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</si>
  <si>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</si>
  <si>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</si>
  <si>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</si>
  <si>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</si>
  <si>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</si>
  <si>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</si>
  <si>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</si>
  <si>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</si>
  <si>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</si>
  <si>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</si>
  <si>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</si>
  <si>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</si>
  <si>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</si>
  <si>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</si>
  <si>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</si>
  <si>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</si>
  <si>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</si>
  <si>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</si>
  <si>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</si>
  <si>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</si>
  <si>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</si>
  <si>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</si>
  <si>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</si>
  <si>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</si>
  <si>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</si>
  <si>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</si>
  <si>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</si>
  <si>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</si>
  <si>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</si>
  <si>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</si>
  <si>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</si>
  <si>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</si>
  <si>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</si>
  <si>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</si>
  <si>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</si>
  <si>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</si>
  <si>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</si>
  <si>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</si>
  <si>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</si>
  <si>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</si>
  <si>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</si>
  <si>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</si>
  <si>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</si>
  <si>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</si>
  <si>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</si>
  <si>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</si>
  <si>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</si>
  <si>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</si>
  <si>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</si>
  <si>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</si>
  <si>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</si>
  <si>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</si>
  <si>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</si>
  <si>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</si>
  <si>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</si>
  <si>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</si>
  <si>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</si>
  <si>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</si>
  <si>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</si>
  <si>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</si>
  <si>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</si>
  <si>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</si>
  <si>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</si>
  <si>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</si>
  <si>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</si>
  <si>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</si>
  <si>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</si>
  <si>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</si>
  <si>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</si>
  <si>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</si>
  <si>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</si>
  <si>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</si>
  <si>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</si>
  <si>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</si>
  <si>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</si>
  <si>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</si>
  <si>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</si>
  <si>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</si>
  <si>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</si>
  <si>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</si>
  <si>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</si>
  <si>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</si>
  <si>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</si>
  <si>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</si>
  <si>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</si>
  <si>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</si>
  <si>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</si>
  <si>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</si>
  <si>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</si>
  <si>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</si>
  <si>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</si>
  <si>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</si>
  <si>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</si>
  <si>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</si>
  <si>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</si>
  <si>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</si>
  <si>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</si>
  <si>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</si>
  <si>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</si>
  <si>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</si>
  <si>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</si>
  <si>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</si>
  <si>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</si>
  <si>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</si>
  <si>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</si>
  <si>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</si>
  <si>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</si>
  <si>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</si>
  <si>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</si>
  <si>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</si>
  <si>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</si>
  <si>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</si>
  <si>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</si>
  <si>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</si>
  <si>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</si>
  <si>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</si>
  <si>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</si>
  <si>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</si>
  <si>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</si>
  <si>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</si>
  <si>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</si>
  <si>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</si>
  <si>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</si>
  <si>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</si>
  <si>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</si>
  <si>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</si>
  <si>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</si>
  <si>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</si>
  <si>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</si>
  <si>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</si>
  <si>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</si>
  <si>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</si>
  <si>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</si>
  <si>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</si>
  <si>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</si>
  <si>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</si>
  <si>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</si>
  <si>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</si>
  <si>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</si>
  <si>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</si>
  <si>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</si>
  <si>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</si>
  <si>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</si>
  <si>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</si>
  <si>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</si>
  <si>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</si>
  <si>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</si>
  <si>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</si>
  <si>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</si>
  <si>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</si>
  <si>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</si>
  <si>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</si>
  <si>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</si>
  <si>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</si>
  <si>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</si>
  <si>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</si>
  <si>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</si>
  <si>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</si>
  <si>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</si>
  <si>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</si>
  <si>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</si>
  <si>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</si>
  <si>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</si>
  <si>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</si>
  <si>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</si>
  <si>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</si>
  <si>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</si>
  <si>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</si>
  <si>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</si>
  <si>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</si>
  <si>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</si>
  <si>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</si>
  <si>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</si>
  <si>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</si>
  <si>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</si>
  <si>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</si>
  <si>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</si>
  <si>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</si>
  <si>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</si>
  <si>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</si>
  <si>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</si>
  <si>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</si>
  <si>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</si>
  <si>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</si>
  <si>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</si>
  <si>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</si>
  <si>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</si>
  <si>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</si>
  <si>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</si>
  <si>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</si>
  <si>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</si>
  <si>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</si>
  <si>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</si>
  <si>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</si>
  <si>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</si>
  <si>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</si>
  <si>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</si>
  <si>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</si>
  <si>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</si>
  <si>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</si>
  <si>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</si>
  <si>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</si>
  <si>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</si>
  <si>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</si>
  <si>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</si>
  <si>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</si>
  <si>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</si>
  <si>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</si>
  <si>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</si>
  <si>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</si>
  <si>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</si>
  <si>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</si>
  <si>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</si>
  <si>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</si>
  <si>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</si>
  <si>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</si>
  <si>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</si>
  <si>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</si>
  <si>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</si>
  <si>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</si>
  <si>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</si>
  <si>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</si>
  <si>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</si>
  <si>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</si>
  <si>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</si>
  <si>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</si>
  <si>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</si>
  <si>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</si>
  <si>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</si>
  <si>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</si>
  <si>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</si>
  <si>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</si>
  <si>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</si>
  <si>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</si>
  <si>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</si>
  <si>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</si>
  <si>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</si>
  <si>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</si>
  <si>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</si>
  <si>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</si>
  <si>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</si>
  <si>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</si>
  <si>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</si>
  <si>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</si>
  <si>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</si>
  <si>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</si>
  <si>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</si>
  <si>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</si>
  <si>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</si>
  <si>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</si>
  <si>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</si>
  <si>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</si>
  <si>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</si>
  <si>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</si>
  <si>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</si>
  <si>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</si>
  <si>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</si>
  <si>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</si>
  <si>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</si>
  <si>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</si>
  <si>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</si>
  <si>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</si>
  <si>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</si>
  <si>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</si>
  <si>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</si>
  <si>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</si>
  <si>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</si>
  <si>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</si>
  <si>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</si>
  <si>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</si>
  <si>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</si>
  <si>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</si>
  <si>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</si>
  <si>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</si>
  <si>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</si>
  <si>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</si>
  <si>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</si>
  <si>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</si>
  <si>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</si>
  <si>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</si>
  <si>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</si>
  <si>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</si>
  <si>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</si>
  <si>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</si>
  <si>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</si>
  <si>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</si>
  <si>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</si>
  <si>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</si>
  <si>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</si>
  <si>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</si>
  <si>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</si>
  <si>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</si>
  <si>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</si>
  <si>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</si>
  <si>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</si>
  <si>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</si>
  <si>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</si>
  <si>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</si>
  <si>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</si>
  <si>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</si>
  <si>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</si>
  <si>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</si>
  <si>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</si>
  <si>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</si>
  <si>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</si>
  <si>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</si>
  <si>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</si>
  <si>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</si>
  <si>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</si>
  <si>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</si>
  <si>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</si>
  <si>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</si>
  <si>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</si>
  <si>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</si>
  <si>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</si>
  <si>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</si>
  <si>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</si>
  <si>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</si>
  <si>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</si>
  <si>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</si>
  <si>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</si>
  <si>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</si>
  <si>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</si>
  <si>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</si>
  <si>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</si>
  <si>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</si>
  <si>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</si>
  <si>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</si>
  <si>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</si>
  <si>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</si>
  <si>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</si>
  <si>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</si>
  <si>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</si>
  <si>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</si>
  <si>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</si>
  <si>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</si>
  <si>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</si>
  <si>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</si>
  <si>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</si>
  <si>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</si>
  <si>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</si>
  <si>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</si>
  <si>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</si>
  <si>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</si>
  <si>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</si>
  <si>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</si>
  <si>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</si>
  <si>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</si>
  <si>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</si>
  <si>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</si>
  <si>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</si>
  <si>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</si>
  <si>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</si>
  <si>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</si>
  <si>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</si>
  <si>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</si>
  <si>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</si>
  <si>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</si>
  <si>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</si>
  <si>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</si>
  <si>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</si>
  <si>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</si>
  <si>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</si>
  <si>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</si>
  <si>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</si>
  <si>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</si>
  <si>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</si>
  <si>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</si>
  <si>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</si>
  <si>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</si>
  <si>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</si>
  <si>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</si>
  <si>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</si>
  <si>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</si>
  <si>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</si>
  <si>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</si>
  <si>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</si>
  <si>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</si>
  <si>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</si>
  <si>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</si>
  <si>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</si>
  <si>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</si>
  <si>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</si>
  <si>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</si>
  <si>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</si>
  <si>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</si>
  <si>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</si>
  <si>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</si>
  <si>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</si>
  <si>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</si>
  <si>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</si>
  <si>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</si>
  <si>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</si>
  <si>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</si>
  <si>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</si>
  <si>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</si>
  <si>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</si>
  <si>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</si>
  <si>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</si>
  <si>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</si>
  <si>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</si>
  <si>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</si>
  <si>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</si>
  <si>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</si>
  <si>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</si>
  <si>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</si>
  <si>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</si>
  <si>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</si>
  <si>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</si>
  <si>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</si>
  <si>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</si>
  <si>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</si>
  <si>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</si>
  <si>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</si>
  <si>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</si>
  <si>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</si>
  <si>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</si>
  <si>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</si>
  <si>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</si>
  <si>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</si>
  <si>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</si>
  <si>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</si>
  <si>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</si>
  <si>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</si>
  <si>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</si>
  <si>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</si>
  <si>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</si>
  <si>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</si>
  <si>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</si>
  <si>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</si>
  <si>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</si>
  <si>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</si>
  <si>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</si>
  <si>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</si>
  <si>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</si>
  <si>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</si>
  <si>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</si>
  <si>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</si>
  <si>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</si>
  <si>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</si>
  <si>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</si>
  <si>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</si>
  <si>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</si>
  <si>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</si>
  <si>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</si>
  <si>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</si>
  <si>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</si>
  <si>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</si>
  <si>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</si>
  <si>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</si>
  <si>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</si>
  <si>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</si>
  <si>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</si>
  <si>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</si>
  <si>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</si>
  <si>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</si>
  <si>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</si>
  <si>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</si>
  <si>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</si>
  <si>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</si>
  <si>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</si>
  <si>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</si>
  <si>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</si>
  <si>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</si>
  <si>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</si>
  <si>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</si>
  <si>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</si>
  <si>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</si>
  <si>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</si>
  <si>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</si>
  <si>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</si>
  <si>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</si>
  <si>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</si>
  <si>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</si>
  <si>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</si>
  <si>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</si>
  <si>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</si>
  <si>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</si>
  <si>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</si>
  <si>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</si>
  <si>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</si>
  <si>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</si>
  <si>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</si>
  <si>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</si>
  <si>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</si>
  <si>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</si>
  <si>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</si>
  <si>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</si>
  <si>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</si>
  <si>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</si>
  <si>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</si>
  <si>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</si>
  <si>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</si>
  <si>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</si>
  <si>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</si>
  <si>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</si>
  <si>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</si>
  <si>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</si>
  <si>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</si>
  <si>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</si>
  <si>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</si>
  <si>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</si>
  <si>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</si>
  <si>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</si>
  <si>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</si>
  <si>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</si>
  <si>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</si>
  <si>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</si>
  <si>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</si>
  <si>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</si>
  <si>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</si>
  <si>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</si>
  <si>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</si>
  <si>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</si>
  <si>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</si>
  <si>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</si>
  <si>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</si>
  <si>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</si>
  <si>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</si>
  <si>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</si>
  <si>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</si>
  <si>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</si>
  <si>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</si>
  <si>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</si>
  <si>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</si>
  <si>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</si>
  <si>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</si>
  <si>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</si>
  <si>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</si>
  <si>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</si>
  <si>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</si>
  <si>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</si>
  <si>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</si>
  <si>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</si>
  <si>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</si>
  <si>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</si>
  <si>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</si>
  <si>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</si>
  <si>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</si>
  <si>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</si>
  <si>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</si>
  <si>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</si>
  <si>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</si>
  <si>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</si>
  <si>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</si>
  <si>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</si>
  <si>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</si>
  <si>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</si>
  <si>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</si>
  <si>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</si>
  <si>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</si>
  <si>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</si>
  <si>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</si>
  <si>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</si>
  <si>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</si>
  <si>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</si>
  <si>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</si>
  <si>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</si>
  <si>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</si>
  <si>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</si>
  <si>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</si>
  <si>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</si>
  <si>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</si>
  <si>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</si>
  <si>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</si>
  <si>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</si>
  <si>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</si>
  <si>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</si>
  <si>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</si>
  <si>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</si>
  <si>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</si>
  <si>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</si>
  <si>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</si>
  <si>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</si>
  <si>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</si>
  <si>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</si>
  <si>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</si>
  <si>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</si>
  <si>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</si>
  <si>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</si>
  <si>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</si>
  <si>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</si>
  <si>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</si>
  <si>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</si>
  <si>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</si>
  <si>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</si>
  <si>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</si>
  <si>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</si>
  <si>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</si>
  <si>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</si>
  <si>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</si>
  <si>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</si>
  <si>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</si>
  <si>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</si>
  <si>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</si>
  <si>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</si>
  <si>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</si>
  <si>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</si>
  <si>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</si>
  <si>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</si>
  <si>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</si>
  <si>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</si>
  <si>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</si>
  <si>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</si>
  <si>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</si>
  <si>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</si>
  <si>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</si>
  <si>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</si>
  <si>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</si>
  <si>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</si>
  <si>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</si>
  <si>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</si>
  <si>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</si>
  <si>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</si>
  <si>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</si>
  <si>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</si>
  <si>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</si>
  <si>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</si>
  <si>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</si>
  <si>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</si>
  <si>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</si>
  <si>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</si>
  <si>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</si>
  <si>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</si>
  <si>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</si>
  <si>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</si>
  <si>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</si>
  <si>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</si>
  <si>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</si>
  <si>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</si>
  <si>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</si>
  <si>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</si>
  <si>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</si>
  <si>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</si>
  <si>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</si>
  <si>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</si>
  <si>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</si>
  <si>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</si>
  <si>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</si>
  <si>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</si>
  <si>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</si>
  <si>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</si>
  <si>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</si>
  <si>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</si>
  <si>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</si>
  <si>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</si>
  <si>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</si>
  <si>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</si>
  <si>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</si>
  <si>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</si>
  <si>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</si>
  <si>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</si>
  <si>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</si>
  <si>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</si>
  <si>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</si>
  <si>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</si>
  <si>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</si>
  <si>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</si>
  <si>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</si>
  <si>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</si>
  <si>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</si>
  <si>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</si>
  <si>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</si>
  <si>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</si>
  <si>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</si>
  <si>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</si>
  <si>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</si>
  <si>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</si>
  <si>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</si>
  <si>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</si>
  <si>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</si>
  <si>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</si>
  <si>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</si>
  <si>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</si>
  <si>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</si>
  <si>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</si>
  <si>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</si>
  <si>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</si>
  <si>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</si>
  <si>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</si>
  <si>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</si>
  <si>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</si>
  <si>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</si>
  <si>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</si>
  <si>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</si>
  <si>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</si>
  <si>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</si>
  <si>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</si>
  <si>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</si>
  <si>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</si>
  <si>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</si>
  <si>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</si>
  <si>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</si>
  <si>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</si>
  <si>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</si>
  <si>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</si>
  <si>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</si>
  <si>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</si>
  <si>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</si>
  <si>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</si>
  <si>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</si>
  <si>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</si>
  <si>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</si>
  <si>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</si>
  <si>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</si>
  <si>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</si>
  <si>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</si>
  <si>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</si>
  <si>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</si>
  <si>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</si>
  <si>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</si>
  <si>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</si>
  <si>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</si>
  <si>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</si>
  <si>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</si>
  <si>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</si>
  <si>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</si>
  <si>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</si>
  <si>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</si>
  <si>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</si>
  <si>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</si>
  <si>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</si>
  <si>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</si>
  <si>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</si>
  <si>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</si>
  <si>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</si>
  <si>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</si>
  <si>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</si>
  <si>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</si>
  <si>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</si>
  <si>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</si>
  <si>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</si>
  <si>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</si>
  <si>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</si>
  <si>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</si>
  <si>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</si>
  <si>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</si>
  <si>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</si>
  <si>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</si>
  <si>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</si>
  <si>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</si>
  <si>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</si>
  <si>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</si>
  <si>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</si>
  <si>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</si>
  <si>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</si>
  <si>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</si>
  <si>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</si>
  <si>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</si>
  <si>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</si>
  <si>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</si>
  <si>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</si>
  <si>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</si>
  <si>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</si>
  <si>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</si>
  <si>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</si>
  <si>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</si>
  <si>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</si>
  <si>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</si>
  <si>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</si>
  <si>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</si>
  <si>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</si>
  <si>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</si>
  <si>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</si>
  <si>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</si>
  <si>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</si>
  <si>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</si>
  <si>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</si>
  <si>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</si>
  <si>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</si>
  <si>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</si>
  <si>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</si>
  <si>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</si>
  <si>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</si>
  <si>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</si>
  <si>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</si>
  <si>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</si>
  <si>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</si>
  <si>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</si>
  <si>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</si>
  <si>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</si>
  <si>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</si>
  <si>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</si>
  <si>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</si>
  <si>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</si>
  <si>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</si>
  <si>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</si>
  <si>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</si>
  <si>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</si>
  <si>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</si>
  <si>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</si>
  <si>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</si>
  <si>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</si>
  <si>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</si>
  <si>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</si>
  <si>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</si>
  <si>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</si>
  <si>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</si>
  <si>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</si>
  <si>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</si>
  <si>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</si>
  <si>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</si>
  <si>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</si>
  <si>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</si>
  <si>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</si>
  <si>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</si>
  <si>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</si>
  <si>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</si>
  <si>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</si>
  <si>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</si>
  <si>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</si>
  <si>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</si>
  <si>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</si>
  <si>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</si>
  <si>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</si>
  <si>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</si>
  <si>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</si>
  <si>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</si>
  <si>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</si>
  <si>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</si>
  <si>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</si>
  <si>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</si>
  <si>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</si>
  <si>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</si>
  <si>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</si>
  <si>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</si>
  <si>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</si>
  <si>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</si>
  <si>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</si>
  <si>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</si>
  <si>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</si>
  <si>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</si>
  <si>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</si>
  <si>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</si>
  <si>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</si>
  <si>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</si>
  <si>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</si>
  <si>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</si>
  <si>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</si>
  <si>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</si>
  <si>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</si>
  <si>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</si>
  <si>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</si>
  <si>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</si>
  <si>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</si>
  <si>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</si>
  <si>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</si>
  <si>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</si>
  <si>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</si>
  <si>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</si>
  <si>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</si>
  <si>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</si>
  <si>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</si>
  <si>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</si>
  <si>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</si>
  <si>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</si>
  <si>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</si>
  <si>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</si>
  <si>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</si>
  <si>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</si>
  <si>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</si>
  <si>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</si>
  <si>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</si>
  <si>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</si>
  <si>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</si>
  <si>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</si>
  <si>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</si>
  <si>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</si>
  <si>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</si>
  <si>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</si>
  <si>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</si>
  <si>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</si>
  <si>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</si>
  <si>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</si>
  <si>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</si>
  <si>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</si>
  <si>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</si>
  <si>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</si>
  <si>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</si>
  <si>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</si>
  <si>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</si>
  <si>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</si>
  <si>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</si>
  <si>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</si>
  <si>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</si>
  <si>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</si>
  <si>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</si>
  <si>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</si>
  <si>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</si>
  <si>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</si>
  <si>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</si>
  <si>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</si>
  <si>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</si>
  <si>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</si>
  <si>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</si>
  <si>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</si>
  <si>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</si>
  <si>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</si>
  <si>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</si>
  <si>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</si>
  <si>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</si>
  <si>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</si>
  <si>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</si>
  <si>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</si>
  <si>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</si>
  <si>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</si>
  <si>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</si>
  <si>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</si>
  <si>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</si>
  <si>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</si>
  <si>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</si>
  <si>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</si>
  <si>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</si>
  <si>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</si>
  <si>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</si>
  <si>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</si>
  <si>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</si>
  <si>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</si>
  <si>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</si>
  <si>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</si>
  <si>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</si>
  <si>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</si>
  <si>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</si>
  <si>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</si>
  <si>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</si>
  <si>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</si>
  <si>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</si>
  <si>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</si>
  <si>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</si>
  <si>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</si>
  <si>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</si>
  <si>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</si>
  <si>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</si>
  <si>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</si>
  <si>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</si>
  <si>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</si>
  <si>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</si>
  <si>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</si>
  <si>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</si>
  <si>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</si>
  <si>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</si>
  <si>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</si>
  <si>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</si>
  <si>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</si>
  <si>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</si>
  <si>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</si>
  <si>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</si>
  <si>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</si>
  <si>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</si>
  <si>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</si>
  <si>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</si>
  <si>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</si>
  <si>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</si>
  <si>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</si>
  <si>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</si>
  <si>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</si>
  <si>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</si>
  <si>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</si>
  <si>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</si>
  <si>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</si>
  <si>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</si>
  <si>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</si>
  <si>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</si>
  <si>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</si>
  <si>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</si>
  <si>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</si>
  <si>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</si>
  <si>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</si>
  <si>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</si>
  <si>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</si>
  <si>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</si>
  <si>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</si>
  <si>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</si>
  <si>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</si>
  <si>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</si>
  <si>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</si>
  <si>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</si>
  <si>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</si>
  <si>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</si>
  <si>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</si>
  <si>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</si>
  <si>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</si>
  <si>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</si>
  <si>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</si>
  <si>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</si>
  <si>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</si>
  <si>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</si>
  <si>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</si>
  <si>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</si>
  <si>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</si>
  <si>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</si>
  <si>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</si>
  <si>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</si>
  <si>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</si>
  <si>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</si>
  <si>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</si>
  <si>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</si>
  <si>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</si>
  <si>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</si>
  <si>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</si>
  <si>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</si>
  <si>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</si>
  <si>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</si>
  <si>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</si>
  <si>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</si>
  <si>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</si>
  <si>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</si>
  <si>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</si>
  <si>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</si>
  <si>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</si>
  <si>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</si>
  <si>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</si>
  <si>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</si>
  <si>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</si>
  <si>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</si>
  <si>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</si>
  <si>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</si>
  <si>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</si>
  <si>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</si>
  <si>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</si>
  <si>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</si>
  <si>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</si>
  <si>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</si>
  <si>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</si>
  <si>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</si>
  <si>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</si>
  <si>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</si>
  <si>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</si>
  <si>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</si>
  <si>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</si>
  <si>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</si>
  <si>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</si>
  <si>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</si>
  <si>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</si>
  <si>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</si>
  <si>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</si>
  <si>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</si>
  <si>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</si>
  <si>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</si>
  <si>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</si>
  <si>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</si>
  <si>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</si>
  <si>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</si>
  <si>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</si>
  <si>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</si>
  <si>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</si>
  <si>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</si>
  <si>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</si>
  <si>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</si>
  <si>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</si>
  <si>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</si>
  <si>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</si>
  <si>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</si>
  <si>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</si>
  <si>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</si>
  <si>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</si>
  <si>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</si>
  <si>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</si>
  <si>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</si>
  <si>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</si>
  <si>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</si>
  <si>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</si>
  <si>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</si>
  <si>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</si>
  <si>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</si>
  <si>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</si>
  <si>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</si>
  <si>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</si>
  <si>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</si>
  <si>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</si>
  <si>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</si>
  <si>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</si>
  <si>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</si>
  <si>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</si>
  <si>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</si>
  <si>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</si>
  <si>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</si>
  <si>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</si>
  <si>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</si>
  <si>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</si>
  <si>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</si>
  <si>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</si>
  <si>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</si>
  <si>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</si>
  <si>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</si>
  <si>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</si>
  <si>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</si>
  <si>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</si>
  <si>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</si>
  <si>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</si>
  <si>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</si>
  <si>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</si>
  <si>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</si>
  <si>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</si>
  <si>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</si>
  <si>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</si>
  <si>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</si>
  <si>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</si>
  <si>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</si>
  <si>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</si>
  <si>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</si>
  <si>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</si>
  <si>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</si>
  <si>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</si>
  <si>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</si>
  <si>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</si>
  <si>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</si>
  <si>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</si>
  <si>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</si>
  <si>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</si>
  <si>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</si>
  <si>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</si>
  <si>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</si>
  <si>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</si>
  <si>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</si>
  <si>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</si>
  <si>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</si>
  <si>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</si>
  <si>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</si>
  <si>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</si>
  <si>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</si>
  <si>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</si>
  <si>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</si>
  <si>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</si>
  <si>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</si>
  <si>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</si>
  <si>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</si>
  <si>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</si>
  <si>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</si>
  <si>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</si>
  <si>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</si>
  <si>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</si>
  <si>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</si>
  <si>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</si>
  <si>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</si>
  <si>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</si>
  <si>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</si>
  <si>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</si>
  <si>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</si>
  <si>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</si>
  <si>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</si>
  <si>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</si>
  <si>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</si>
  <si>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</si>
  <si>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</si>
  <si>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</si>
  <si>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</si>
  <si>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</si>
  <si>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</si>
  <si>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</si>
  <si>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</si>
  <si>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</si>
  <si>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</si>
  <si>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</si>
  <si>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</si>
  <si>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</si>
  <si>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</si>
  <si>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</si>
  <si>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</si>
  <si>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</si>
  <si>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</si>
  <si>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</si>
  <si>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</si>
  <si>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</si>
  <si>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</si>
  <si>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</si>
  <si>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</si>
  <si>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</si>
  <si>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</si>
  <si>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</si>
  <si>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</si>
  <si>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</si>
  <si>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</si>
  <si>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</si>
  <si>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</si>
  <si>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</si>
  <si>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</si>
  <si>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</si>
  <si>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</si>
  <si>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</si>
  <si>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</si>
  <si>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</si>
  <si>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</si>
  <si>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</si>
  <si>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</si>
  <si>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</si>
  <si>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</si>
  <si>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</si>
  <si>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</si>
  <si>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</si>
  <si>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</si>
  <si>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</si>
  <si>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</si>
  <si>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</si>
  <si>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</si>
  <si>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</si>
  <si>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</si>
  <si>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</si>
  <si>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</si>
  <si>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</si>
  <si>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</si>
  <si>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</si>
  <si>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</si>
  <si>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</si>
  <si>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</si>
  <si>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</si>
  <si>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</si>
  <si>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</si>
  <si>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</si>
  <si>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</si>
  <si>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</si>
  <si>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</si>
  <si>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</si>
  <si>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</si>
  <si>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</si>
  <si>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</si>
  <si>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</si>
  <si>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</si>
  <si>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</si>
  <si>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</si>
  <si>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</si>
  <si>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</si>
  <si>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</si>
  <si>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</si>
  <si>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</si>
  <si>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</si>
  <si>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</si>
  <si>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</si>
  <si>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</si>
  <si>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</si>
  <si>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</si>
  <si>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</si>
  <si>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</si>
  <si>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</si>
  <si>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</si>
  <si>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</si>
  <si>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</si>
  <si>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</si>
  <si>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</si>
  <si>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</si>
  <si>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</si>
  <si>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</si>
  <si>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</si>
  <si>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</si>
  <si>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</si>
  <si>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</si>
  <si>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</si>
  <si>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</si>
  <si>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</si>
  <si>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</si>
  <si>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</si>
  <si>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</si>
  <si>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</si>
  <si>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</si>
  <si>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</si>
  <si>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</si>
  <si>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</si>
  <si>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</si>
  <si>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</si>
  <si>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</si>
  <si>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</si>
  <si>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</si>
  <si>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</si>
  <si>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</si>
  <si>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</si>
  <si>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</si>
  <si>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</si>
  <si>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</si>
  <si>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</si>
  <si>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</si>
  <si>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</si>
  <si>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</si>
  <si>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</si>
  <si>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</si>
  <si>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</si>
  <si>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</si>
  <si>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</si>
  <si>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</si>
  <si>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</si>
  <si>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</si>
  <si>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</si>
  <si>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</si>
  <si>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</si>
  <si>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</si>
  <si>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</si>
  <si>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</si>
  <si>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</si>
  <si>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</si>
  <si>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</si>
  <si>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</si>
  <si>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</si>
  <si>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</si>
  <si>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</si>
  <si>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</si>
  <si>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</si>
  <si>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</si>
  <si>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</si>
  <si>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</si>
  <si>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</si>
  <si>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</si>
  <si>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</si>
  <si>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</si>
  <si>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</si>
  <si>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</si>
  <si>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</si>
  <si>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</si>
  <si>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</si>
  <si>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</si>
  <si>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</si>
  <si>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</si>
  <si>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</si>
  <si>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</si>
  <si>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</si>
  <si>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</si>
  <si>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</si>
  <si>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</si>
  <si>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</si>
  <si>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</si>
  <si>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</si>
  <si>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</si>
  <si>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</si>
  <si>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</si>
  <si>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</si>
  <si>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</si>
  <si>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</si>
  <si>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</si>
  <si>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</si>
  <si>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</si>
  <si>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</si>
  <si>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</si>
  <si>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</si>
  <si>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</si>
  <si>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</si>
  <si>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</si>
  <si>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</si>
  <si>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</si>
  <si>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</si>
  <si>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</si>
  <si>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</si>
  <si>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</si>
  <si>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</si>
  <si>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</si>
  <si>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</si>
  <si>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</si>
  <si>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</si>
  <si>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</si>
  <si>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</si>
  <si>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</si>
  <si>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</si>
  <si>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</si>
  <si>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</si>
  <si>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</si>
  <si>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</si>
  <si>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</si>
  <si>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</si>
  <si>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</si>
  <si>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</si>
  <si>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</si>
  <si>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</si>
  <si>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</si>
  <si>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</si>
  <si>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</si>
  <si>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</si>
  <si>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</si>
  <si>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</si>
  <si>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</si>
  <si>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</si>
  <si>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</si>
  <si>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</si>
  <si>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</si>
  <si>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</si>
  <si>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</si>
  <si>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</si>
  <si>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</si>
  <si>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</si>
  <si>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</si>
  <si>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</si>
  <si>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</si>
  <si>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</si>
  <si>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</si>
  <si>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</si>
  <si>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</si>
  <si>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</si>
  <si>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</si>
  <si>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</si>
  <si>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</si>
  <si>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</si>
  <si>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</si>
  <si>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</si>
  <si>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</si>
  <si>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</si>
  <si>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</si>
  <si>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</si>
  <si>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</si>
  <si>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</si>
  <si>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</si>
  <si>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</si>
  <si>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</si>
  <si>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</si>
  <si>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</si>
  <si>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</si>
  <si>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</si>
  <si>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</si>
  <si>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</si>
  <si>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</si>
  <si>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</si>
  <si>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</si>
  <si>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</si>
  <si>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</si>
  <si>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</si>
  <si>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</si>
  <si>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</si>
  <si>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</si>
  <si>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</si>
  <si>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</si>
  <si>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</si>
  <si>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</si>
  <si>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</si>
  <si>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</si>
  <si>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</si>
  <si>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</si>
  <si>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</si>
  <si>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</si>
  <si>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</si>
  <si>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</si>
  <si>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</si>
  <si>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</si>
  <si>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</si>
  <si>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</si>
  <si>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</si>
  <si>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</si>
  <si>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</si>
  <si>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</si>
  <si>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</si>
  <si>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</si>
  <si>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</si>
  <si>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</si>
  <si>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</si>
  <si>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</si>
  <si>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</si>
  <si>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</si>
  <si>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</si>
  <si>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</si>
  <si>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</si>
  <si>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</si>
  <si>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</si>
  <si>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</si>
  <si>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</si>
  <si>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</si>
  <si>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</si>
  <si>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</si>
  <si>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</si>
  <si>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</si>
  <si>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</si>
  <si>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</si>
  <si>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</si>
  <si>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</si>
  <si>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</si>
  <si>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</si>
  <si>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</si>
  <si>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</si>
  <si>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</si>
  <si>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</si>
  <si>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</si>
  <si>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</si>
  <si>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</si>
  <si>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</si>
  <si>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</si>
  <si>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</si>
  <si>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</si>
  <si>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</si>
  <si>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</si>
  <si>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</si>
  <si>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</si>
  <si>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</si>
  <si>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</si>
  <si>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</si>
  <si>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</si>
  <si>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</si>
  <si>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</si>
  <si>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</si>
  <si>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</si>
  <si>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</si>
  <si>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</si>
  <si>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</si>
  <si>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</si>
  <si>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</si>
  <si>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</si>
  <si>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</si>
  <si>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</si>
  <si>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</si>
  <si>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</si>
  <si>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</si>
  <si>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</si>
  <si>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</si>
  <si>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</si>
  <si>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</si>
  <si>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</si>
  <si>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</si>
  <si>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</si>
  <si>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</si>
  <si>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</si>
  <si>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</si>
  <si>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</si>
  <si>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</si>
  <si>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</si>
  <si>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</si>
  <si>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</si>
  <si>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</si>
  <si>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</si>
  <si>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</si>
  <si>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</si>
  <si>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</si>
  <si>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</si>
  <si>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</si>
  <si>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</si>
  <si>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</si>
  <si>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</si>
  <si>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</si>
  <si>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</si>
  <si>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</si>
  <si>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</si>
  <si>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</si>
  <si>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</si>
  <si>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</si>
  <si>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</si>
  <si>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</si>
  <si>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</si>
  <si>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</si>
  <si>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</si>
  <si>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</si>
  <si>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</si>
  <si>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</si>
  <si>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</si>
  <si>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</si>
  <si>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</si>
  <si>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</si>
  <si>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</si>
  <si>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</si>
  <si>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</si>
  <si>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</si>
  <si>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</si>
  <si>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</si>
  <si>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</si>
  <si>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</si>
  <si>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</si>
  <si>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</si>
  <si>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</si>
  <si>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</si>
  <si>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</si>
  <si>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</si>
  <si>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</si>
  <si>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</si>
  <si>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</si>
  <si>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</si>
  <si>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</si>
  <si>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</si>
  <si>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</si>
  <si>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</si>
  <si>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</si>
  <si>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</si>
  <si>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</si>
  <si>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</si>
  <si>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</si>
  <si>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</si>
  <si>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</si>
  <si>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</si>
  <si>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</si>
  <si>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</si>
  <si>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</si>
  <si>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</si>
  <si>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</si>
  <si>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</si>
  <si>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</si>
  <si>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</si>
  <si>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</si>
  <si>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</si>
  <si>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</si>
  <si>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</si>
  <si>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</si>
  <si>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</si>
  <si>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</si>
  <si>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</si>
  <si>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</si>
  <si>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</si>
  <si>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</si>
  <si>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</si>
  <si>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</si>
  <si>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</si>
  <si>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</si>
  <si>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</si>
  <si>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</si>
  <si>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</si>
  <si>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</si>
  <si>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</si>
  <si>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</si>
  <si>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</si>
  <si>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</si>
  <si>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</si>
  <si>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</si>
  <si>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</si>
  <si>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</si>
  <si>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</si>
  <si>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</si>
  <si>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</si>
  <si>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</si>
  <si>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</si>
  <si>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</si>
  <si>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</si>
  <si>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</si>
  <si>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</si>
  <si>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</si>
  <si>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</si>
  <si>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</si>
  <si>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</si>
  <si>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</si>
  <si>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</si>
  <si>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</si>
  <si>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</si>
  <si>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</si>
  <si>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</si>
  <si>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</si>
  <si>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</si>
  <si>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</si>
  <si>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</si>
  <si>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</si>
  <si>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</si>
  <si>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</si>
  <si>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</si>
  <si>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</si>
  <si>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</si>
  <si>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</si>
  <si>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</si>
  <si>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</si>
  <si>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</si>
  <si>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</si>
  <si>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</si>
  <si>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</si>
  <si>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</si>
  <si>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</si>
  <si>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</si>
  <si>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</si>
  <si>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</si>
  <si>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</si>
  <si>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</si>
  <si>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</si>
  <si>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</si>
  <si>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</si>
  <si>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</si>
  <si>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</si>
  <si>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</si>
  <si>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</si>
  <si>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</si>
  <si>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</si>
  <si>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</si>
  <si>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</si>
  <si>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</si>
  <si>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</si>
  <si>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</si>
  <si>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</si>
  <si>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</si>
  <si>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</si>
  <si>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</si>
  <si>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</si>
  <si>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</si>
  <si>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</si>
  <si>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</si>
  <si>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</si>
  <si>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</si>
  <si>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</si>
  <si>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</si>
  <si>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</si>
  <si>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</si>
  <si>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</si>
  <si>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</si>
  <si>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</si>
  <si>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</si>
  <si>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</si>
  <si>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</si>
  <si>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</si>
  <si>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</si>
  <si>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</si>
  <si>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</si>
  <si>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</si>
  <si>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</si>
  <si>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</si>
  <si>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</si>
  <si>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</si>
  <si>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</si>
  <si>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</si>
  <si>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</si>
  <si>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</si>
  <si>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</si>
  <si>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</si>
  <si>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</si>
  <si>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</si>
  <si>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</si>
  <si>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</si>
  <si>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</si>
  <si>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</si>
  <si>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</si>
  <si>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</si>
  <si>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</si>
  <si>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</si>
  <si>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</si>
  <si>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</si>
  <si>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</si>
  <si>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</si>
  <si>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</si>
  <si>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</si>
  <si>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</si>
  <si>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</si>
  <si>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</si>
  <si>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</si>
  <si>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</si>
  <si>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</si>
  <si>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</si>
  <si>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</si>
  <si>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</si>
  <si>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</si>
  <si>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</si>
  <si>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</si>
  <si>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</si>
  <si>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</si>
  <si>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</si>
  <si>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</si>
  <si>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</si>
  <si>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</si>
  <si>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</si>
  <si>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</si>
  <si>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</si>
  <si>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</si>
  <si>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</si>
  <si>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</si>
  <si>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</si>
  <si>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</si>
  <si>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</si>
  <si>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</si>
  <si>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</si>
  <si>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</si>
  <si>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</si>
  <si>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</si>
  <si>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</si>
  <si>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</si>
  <si>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</si>
  <si>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</si>
  <si>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</si>
  <si>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</si>
  <si>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</si>
  <si>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</si>
  <si>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</si>
  <si>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</si>
  <si>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</si>
  <si>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</si>
  <si>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</si>
  <si>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</si>
  <si>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</si>
  <si>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</si>
  <si>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</si>
  <si>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</si>
  <si>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</si>
  <si>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</si>
  <si>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</si>
  <si>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</si>
  <si>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</si>
  <si>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</si>
  <si>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</si>
  <si>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</si>
  <si>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</si>
  <si>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</si>
  <si>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</si>
  <si>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</si>
  <si>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</si>
  <si>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</si>
  <si>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</si>
  <si>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</si>
  <si>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</si>
  <si>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</si>
  <si>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</si>
  <si>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</si>
  <si>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</si>
  <si>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</si>
  <si>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</si>
  <si>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</si>
  <si>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</si>
  <si>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</si>
  <si>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</si>
  <si>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</si>
  <si>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</si>
  <si>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</si>
  <si>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</si>
  <si>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</si>
  <si>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</si>
  <si>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</si>
  <si>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</si>
  <si>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</si>
  <si>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</si>
  <si>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</si>
  <si>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</si>
  <si>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</si>
  <si>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</si>
  <si>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</si>
  <si>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</si>
  <si>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</si>
  <si>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</si>
  <si>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</si>
  <si>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</si>
  <si>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</si>
  <si>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</si>
  <si>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</si>
  <si>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</si>
  <si>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</si>
  <si>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</si>
  <si>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</si>
  <si>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</si>
  <si>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</si>
  <si>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</si>
  <si>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</si>
  <si>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</si>
  <si>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</si>
  <si>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</si>
  <si>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</si>
  <si>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</si>
  <si>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</si>
  <si>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</si>
  <si>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</si>
  <si>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</si>
  <si>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</si>
  <si>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</si>
  <si>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</si>
  <si>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</si>
  <si>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</si>
  <si>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</si>
  <si>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</si>
  <si>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</si>
  <si>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</si>
  <si>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</si>
  <si>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</si>
  <si>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</si>
  <si>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</si>
  <si>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</si>
  <si>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</si>
  <si>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</si>
  <si>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</si>
  <si>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</si>
  <si>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</si>
  <si>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</si>
  <si>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</si>
  <si>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</si>
  <si>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</si>
  <si>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</si>
  <si>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</si>
  <si>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</si>
  <si>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</si>
  <si>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</si>
  <si>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</si>
  <si>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</si>
  <si>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</si>
  <si>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</si>
  <si>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</si>
  <si>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</si>
  <si>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</si>
  <si>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</si>
  <si>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</si>
  <si>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</si>
  <si>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</si>
  <si>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</si>
  <si>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</si>
  <si>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</si>
  <si>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</si>
  <si>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وغدیر 17544 تا 1135</t>
  </si>
  <si>
    <t>ومهان 10224 تا 1250.3</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</si>
  <si>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</si>
  <si>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</si>
  <si>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</si>
  <si>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</si>
  <si>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</si>
  <si>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</si>
  <si>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</si>
  <si>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</si>
  <si>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</si>
  <si>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پارس 912 تا 13275.6</t>
  </si>
  <si>
    <t>بدهی به حسین 9/12/1399</t>
  </si>
  <si>
    <t>22/11/1399</t>
  </si>
  <si>
    <t xml:space="preserve">شمع </t>
  </si>
  <si>
    <t>8/12/1399</t>
  </si>
  <si>
    <t>بدهی بابت اعتبار 20 میلیونی به مهدی 9/12/1399</t>
  </si>
  <si>
    <t>10/12/1399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</si>
</sst>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 fontId="0" fillId="42"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C85" zoomScaleNormal="100" workbookViewId="0">
      <selection activeCell="Q110" sqref="Q110"/>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5896</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5897</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5898</v>
      </c>
      <c r="B36" s="18">
        <f>B33*B34/B35</f>
        <v>600</v>
      </c>
      <c r="E36" s="94"/>
      <c r="F36" s="94"/>
      <c r="G36" s="94"/>
      <c r="N36" t="s">
        <v>25</v>
      </c>
      <c r="O36" s="97" t="s">
        <v>5031</v>
      </c>
      <c r="P36" s="18">
        <v>6000000</v>
      </c>
      <c r="Q36" s="97">
        <v>1</v>
      </c>
      <c r="R36" s="97"/>
      <c r="S36" s="94"/>
      <c r="T36" s="94"/>
      <c r="V36" t="s">
        <v>25</v>
      </c>
    </row>
    <row r="37" spans="1:22">
      <c r="A37" s="120" t="s">
        <v>5899</v>
      </c>
      <c r="B37" s="120">
        <v>872000000</v>
      </c>
      <c r="E37" s="94"/>
      <c r="F37" s="94"/>
      <c r="G37" s="94"/>
      <c r="O37" s="97" t="s">
        <v>5090</v>
      </c>
      <c r="P37" s="18">
        <v>-2302282</v>
      </c>
      <c r="Q37" s="97">
        <v>6</v>
      </c>
      <c r="R37" s="97"/>
      <c r="S37" s="94"/>
      <c r="T37" s="94"/>
    </row>
    <row r="38" spans="1:22">
      <c r="A38" s="120" t="s">
        <v>5900</v>
      </c>
      <c r="B38" s="18">
        <v>750</v>
      </c>
      <c r="E38" s="94"/>
      <c r="F38" s="94"/>
      <c r="O38" s="97" t="s">
        <v>5095</v>
      </c>
      <c r="P38" s="18">
        <v>100000</v>
      </c>
      <c r="Q38" s="97">
        <v>1</v>
      </c>
      <c r="R38" s="97"/>
      <c r="S38" s="94"/>
      <c r="T38" s="94"/>
    </row>
    <row r="39" spans="1:22">
      <c r="A39" s="120" t="s">
        <v>5901</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N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t="s">
        <v>5893</v>
      </c>
      <c r="P106" s="18">
        <v>-3000000</v>
      </c>
      <c r="Q106" s="97">
        <v>3</v>
      </c>
      <c r="R106" s="97"/>
    </row>
    <row r="107" spans="13:18">
      <c r="O107" s="97" t="s">
        <v>5903</v>
      </c>
      <c r="P107" s="18">
        <v>-6000000</v>
      </c>
      <c r="Q107" s="97">
        <v>1</v>
      </c>
      <c r="R107" s="97"/>
    </row>
    <row r="108" spans="13:18">
      <c r="O108" s="97" t="s">
        <v>5911</v>
      </c>
      <c r="P108" s="18">
        <v>-10000000</v>
      </c>
      <c r="Q108" s="97">
        <v>0</v>
      </c>
      <c r="R108" s="97"/>
    </row>
    <row r="109" spans="13:18">
      <c r="O109" s="97" t="s">
        <v>5911</v>
      </c>
      <c r="P109" s="18">
        <v>-5500000</v>
      </c>
      <c r="Q109" s="97">
        <v>1</v>
      </c>
      <c r="R109" s="97"/>
    </row>
    <row r="110" spans="13:18">
      <c r="O110" s="97"/>
      <c r="P110" s="18"/>
      <c r="Q110" s="97"/>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30500000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abSelected="1" topLeftCell="G26"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5086141115.8885746</v>
      </c>
      <c r="M21" s="166" t="s">
        <v>4276</v>
      </c>
      <c r="N21" s="111">
        <f>O21*P21</f>
        <v>2834422610</v>
      </c>
      <c r="O21" s="97">
        <v>2544365</v>
      </c>
      <c r="P21" s="183">
        <f>P45</f>
        <v>1114</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17900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12600000</v>
      </c>
      <c r="O23" s="97">
        <v>1000</v>
      </c>
      <c r="P23" s="183">
        <f>P43</f>
        <v>12600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5345513675.8885746</v>
      </c>
      <c r="G24" s="93">
        <f t="shared" si="0"/>
        <v>-5065207330.5066357</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17900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12600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344656004</v>
      </c>
      <c r="O28" s="67">
        <v>309386</v>
      </c>
      <c r="P28" s="97">
        <f>P45</f>
        <v>1114</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-W143</f>
        <v>-5086141115.8885746</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5910</v>
      </c>
      <c r="L40" s="115">
        <v>-50500000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52782434</v>
      </c>
      <c r="O41" s="67">
        <v>47381</v>
      </c>
      <c r="P41" s="67">
        <f>P45</f>
        <v>1114</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52782434</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344508956</v>
      </c>
      <c r="M43" s="19" t="s">
        <v>4358</v>
      </c>
      <c r="N43" s="115">
        <f t="shared" si="22"/>
        <v>188622000</v>
      </c>
      <c r="O43" s="67">
        <v>14970</v>
      </c>
      <c r="P43" s="67">
        <v>12600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17900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-22400000</v>
      </c>
      <c r="M45" s="19" t="s">
        <v>4160</v>
      </c>
      <c r="N45" s="111">
        <f>O45*P45</f>
        <v>4710687136</v>
      </c>
      <c r="O45" s="97">
        <v>4228624</v>
      </c>
      <c r="P45" s="97">
        <v>1114</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143946712</v>
      </c>
      <c r="O46" s="97">
        <v>117796</v>
      </c>
      <c r="P46" s="97">
        <v>1222</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O43-1750+809</f>
        <v>14029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5892</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5902</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5906</v>
      </c>
      <c r="L55" s="115">
        <v>-4000000</v>
      </c>
      <c r="M55" s="166" t="s">
        <v>4405</v>
      </c>
      <c r="N55" s="111">
        <f>-W144</f>
        <v>-96394175.491001174</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3049085899.6204243</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5345513675.8885746</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5445513675.8885746</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1042425792.6758094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311742970.7462979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8"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10053.859964093357</v>
      </c>
      <c r="G100" s="197">
        <f>P45</f>
        <v>1114</v>
      </c>
      <c r="H100" s="197" t="s">
        <v>4715</v>
      </c>
      <c r="I100" s="197" t="s">
        <v>5325</v>
      </c>
      <c r="J100" s="211" t="s">
        <v>4220</v>
      </c>
      <c r="K100" s="197">
        <v>210</v>
      </c>
      <c r="L100" s="212">
        <f t="shared" ref="L100:L105" si="48">K100*$L$108</f>
        <v>2352000000</v>
      </c>
      <c r="M100" s="212">
        <f>N21+N28+N45+N41</f>
        <v>7942548184</v>
      </c>
      <c r="N100" s="181">
        <f t="shared" ref="N100:N105" si="49">L100-M100</f>
        <v>-5590548184</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17900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12600</v>
      </c>
      <c r="H102" s="197" t="s">
        <v>4995</v>
      </c>
      <c r="I102" s="197" t="s">
        <v>5327</v>
      </c>
      <c r="J102" s="211" t="s">
        <v>4358</v>
      </c>
      <c r="K102" s="197">
        <v>0</v>
      </c>
      <c r="L102" s="212">
        <f t="shared" si="48"/>
        <v>0</v>
      </c>
      <c r="M102" s="212">
        <f>N43+N23</f>
        <v>201222000</v>
      </c>
      <c r="N102" s="181">
        <f t="shared" si="49"/>
        <v>-201222000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70500000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33" si="56">V107*(1+$W$19/100)</f>
        <v>15333.963686136991</v>
      </c>
      <c r="X107" s="32">
        <f t="shared" ref="X107:X133"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1922459</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1114</v>
      </c>
      <c r="H118" s="97" t="s">
        <v>4220</v>
      </c>
      <c r="I118" s="97">
        <v>102500</v>
      </c>
      <c r="J118" s="1">
        <f>I118*G118</f>
        <v>114185000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12600</v>
      </c>
      <c r="H119" s="97" t="s">
        <v>4358</v>
      </c>
      <c r="I119" s="97">
        <v>13418</v>
      </c>
      <c r="J119" s="1">
        <f>I119*G119</f>
        <v>169066800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23251800</v>
      </c>
      <c r="J122" s="1">
        <v>0</v>
      </c>
      <c r="K122" s="255" t="s">
        <v>1070</v>
      </c>
      <c r="L122" s="167">
        <v>1100000</v>
      </c>
      <c r="M122" s="167">
        <v>3400000</v>
      </c>
      <c r="N122" s="166">
        <f t="shared" si="58"/>
        <v>209.09090909090909</v>
      </c>
      <c r="Q122" s="167"/>
      <c r="R122" s="210" t="s">
        <v>5882</v>
      </c>
      <c r="S122" s="210">
        <f>S121-11</f>
        <v>-13</v>
      </c>
      <c r="T122" s="210" t="s">
        <v>5905</v>
      </c>
      <c r="U122" s="210">
        <v>13275.6</v>
      </c>
      <c r="V122" s="97">
        <f t="shared" si="38"/>
        <v>13344.996835068496</v>
      </c>
      <c r="W122" s="32">
        <f t="shared" si="56"/>
        <v>13611.896771769865</v>
      </c>
      <c r="X122" s="32">
        <f t="shared" si="57"/>
        <v>13878.796708471236</v>
      </c>
      <c r="Y122" s="94"/>
      <c r="Z122" s="94"/>
      <c r="AA122" s="94">
        <v>912</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17900</v>
      </c>
      <c r="H126" s="210" t="s">
        <v>4362</v>
      </c>
      <c r="I126" s="210">
        <v>4386</v>
      </c>
      <c r="J126" s="111">
        <f>G126*I126</f>
        <v>78509400</v>
      </c>
      <c r="Q126" s="167"/>
      <c r="R126" s="210" t="s">
        <v>5893</v>
      </c>
      <c r="S126" s="210">
        <f>S125-1</f>
        <v>-24</v>
      </c>
      <c r="T126" s="210" t="s">
        <v>5894</v>
      </c>
      <c r="U126" s="210">
        <v>1135</v>
      </c>
      <c r="V126" s="97">
        <f t="shared" si="38"/>
        <v>1131.3555616438357</v>
      </c>
      <c r="W126" s="32">
        <f t="shared" si="56"/>
        <v>1153.9826728767125</v>
      </c>
      <c r="X126" s="32">
        <f t="shared" si="57"/>
        <v>1176.6097841095891</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5893</v>
      </c>
      <c r="S127" s="210">
        <f>S126</f>
        <v>-24</v>
      </c>
      <c r="T127" s="210" t="s">
        <v>5895</v>
      </c>
      <c r="U127" s="210">
        <v>1250.3</v>
      </c>
      <c r="V127" s="97">
        <f t="shared" si="38"/>
        <v>1246.2853380821919</v>
      </c>
      <c r="W127" s="32">
        <f t="shared" si="56"/>
        <v>1271.2110448438357</v>
      </c>
      <c r="X127" s="32">
        <f t="shared" si="57"/>
        <v>1296.1367516054795</v>
      </c>
      <c r="Y127" s="94"/>
      <c r="Z127" s="94">
        <v>10224</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t="s">
        <v>5903</v>
      </c>
      <c r="S128" s="210">
        <f>S127-3</f>
        <v>-27</v>
      </c>
      <c r="T128" s="210" t="s">
        <v>5904</v>
      </c>
      <c r="U128" s="210">
        <v>1114</v>
      </c>
      <c r="V128" s="97">
        <f t="shared" si="38"/>
        <v>1107.8592657534248</v>
      </c>
      <c r="W128" s="32">
        <f t="shared" si="56"/>
        <v>1130.0164510684933</v>
      </c>
      <c r="X128" s="32">
        <f t="shared" si="57"/>
        <v>1152.1736363835619</v>
      </c>
      <c r="Y128" s="94">
        <v>20737</v>
      </c>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29163498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t="s">
        <v>25</v>
      </c>
      <c r="R132" s="210"/>
      <c r="S132" s="210"/>
      <c r="T132" s="210"/>
      <c r="U132" s="210"/>
      <c r="V132" s="97">
        <f>U132*(1+$R$91+$Q$15*S132/36500)</f>
        <v>0</v>
      </c>
      <c r="W132" s="32">
        <f t="shared" si="56"/>
        <v>0</v>
      </c>
      <c r="X132" s="32">
        <f t="shared" si="57"/>
        <v>0</v>
      </c>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166"/>
      <c r="S133" s="166"/>
      <c r="T133" s="166" t="s">
        <v>25</v>
      </c>
      <c r="U133" s="166"/>
      <c r="V133" s="97">
        <f>U133*(1+$R$91+$Q$15*S133/36500)</f>
        <v>0</v>
      </c>
      <c r="W133" s="32">
        <f t="shared" si="56"/>
        <v>0</v>
      </c>
      <c r="X133" s="32">
        <f t="shared" si="57"/>
        <v>0</v>
      </c>
      <c r="Z133" t="s">
        <v>25</v>
      </c>
      <c r="AA133" s="94"/>
      <c r="AH133" s="20">
        <v>113</v>
      </c>
      <c r="AI133" s="115" t="s">
        <v>4606</v>
      </c>
      <c r="AJ133" s="115">
        <v>-980000</v>
      </c>
      <c r="AK133" s="20">
        <v>0</v>
      </c>
      <c r="AL133" s="97">
        <f t="shared" si="61"/>
        <v>685</v>
      </c>
      <c r="AM133" s="115">
        <f t="shared" si="60"/>
        <v>-671300000</v>
      </c>
      <c r="AN133" s="20"/>
    </row>
    <row r="134" spans="7:43">
      <c r="G134" s="1">
        <f>P45</f>
        <v>1114</v>
      </c>
      <c r="H134" s="210" t="s">
        <v>4220</v>
      </c>
      <c r="I134" s="210">
        <v>241029</v>
      </c>
      <c r="J134" s="1">
        <f>I134*G134</f>
        <v>268506306</v>
      </c>
      <c r="Q134" s="111">
        <f>SUM(N41:N47)-SUM(Q95:Q133)</f>
        <v>3188260175.5136547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61"/>
        <v>685</v>
      </c>
      <c r="AM134" s="88">
        <f t="shared" si="60"/>
        <v>9111726150</v>
      </c>
      <c r="AN134" s="87" t="s">
        <v>4607</v>
      </c>
      <c r="AQ134" t="s">
        <v>25</v>
      </c>
    </row>
    <row r="135" spans="7:43">
      <c r="G135" s="1">
        <f>P44</f>
        <v>17900</v>
      </c>
      <c r="H135" s="210" t="s">
        <v>4362</v>
      </c>
      <c r="I135" s="210">
        <v>2535</v>
      </c>
      <c r="J135" s="1">
        <f>I135*G135</f>
        <v>45376500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233960391</v>
      </c>
      <c r="J137" s="1">
        <f>SUM(J134:J136)</f>
        <v>313882806</v>
      </c>
      <c r="R137" s="32">
        <v>4433</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s="32">
        <v>2580</v>
      </c>
      <c r="S138" s="1">
        <f>S137*R138/R137</f>
        <v>88538639.70406045</v>
      </c>
      <c r="T138" s="112" t="s">
        <v>25</v>
      </c>
      <c r="U138" s="94" t="s">
        <v>25</v>
      </c>
      <c r="V138" s="120" t="s">
        <v>25</v>
      </c>
      <c r="W138" s="94"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s="32">
        <f>R137-R138</f>
        <v>1853</v>
      </c>
      <c r="S139" s="1">
        <f>R139*S137/R137</f>
        <v>63589960.996753499</v>
      </c>
      <c r="T139" t="s">
        <v>25</v>
      </c>
      <c r="U139" s="120" t="s">
        <v>25</v>
      </c>
      <c r="V139" s="94"/>
      <c r="W139" s="120"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61"/>
        <v>670</v>
      </c>
      <c r="AM140" s="77">
        <f t="shared" si="60"/>
        <v>8934657030</v>
      </c>
      <c r="AN140" s="119" t="s">
        <v>4607</v>
      </c>
    </row>
    <row r="141" spans="7:43">
      <c r="G141" s="1">
        <f>P45</f>
        <v>1114</v>
      </c>
      <c r="H141" s="210" t="s">
        <v>4220</v>
      </c>
      <c r="I141" s="210">
        <v>68595</v>
      </c>
      <c r="J141" s="1">
        <f>G141*I141</f>
        <v>76414830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17900</v>
      </c>
      <c r="H142" s="210" t="s">
        <v>4362</v>
      </c>
      <c r="I142" s="210">
        <v>1703</v>
      </c>
      <c r="J142" s="1">
        <f>G142*I142</f>
        <v>30483700</v>
      </c>
      <c r="K142" s="94"/>
      <c r="L142" s="94"/>
      <c r="M142" s="94"/>
      <c r="N142" s="94"/>
      <c r="O142" s="94"/>
      <c r="Q142" s="94"/>
      <c r="R142" s="94"/>
      <c r="S142" s="94" t="s">
        <v>25</v>
      </c>
      <c r="T142" s="120">
        <f>V143-V150</f>
        <v>2736657</v>
      </c>
      <c r="U142" s="310" t="s">
        <v>744</v>
      </c>
      <c r="V142" s="310">
        <v>1517230</v>
      </c>
      <c r="W142" s="88">
        <f>V142*$T$465</f>
        <v>2819807482.3624673</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70579387</v>
      </c>
      <c r="J143" s="1">
        <f>SUM(J141:J142)</f>
        <v>106898530</v>
      </c>
      <c r="K143" s="94"/>
      <c r="L143" s="94" t="s">
        <v>25</v>
      </c>
      <c r="M143" s="94"/>
      <c r="N143" s="94"/>
      <c r="O143" s="94"/>
      <c r="T143" s="120"/>
      <c r="U143" s="310" t="s">
        <v>4411</v>
      </c>
      <c r="V143" s="310">
        <v>2736657</v>
      </c>
      <c r="W143" s="88">
        <f>V143*$T$465</f>
        <v>5086141115.8885746</v>
      </c>
      <c r="X143" s="94" t="s">
        <v>25</v>
      </c>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V144*$T$465</f>
        <v>96394175.491001174</v>
      </c>
      <c r="X144" s="21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S145" t="s">
        <v>25</v>
      </c>
      <c r="T145" s="94" t="s">
        <v>25</v>
      </c>
      <c r="U145" s="310" t="s">
        <v>1071</v>
      </c>
      <c r="V145" s="310">
        <v>159774</v>
      </c>
      <c r="W145" s="88">
        <f>V145*$T$465</f>
        <v>296943720.25795746</v>
      </c>
      <c r="X145" s="113"/>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61"/>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1114</v>
      </c>
      <c r="H149" s="210" t="s">
        <v>4220</v>
      </c>
      <c r="I149" s="210">
        <v>309254</v>
      </c>
      <c r="J149" s="1">
        <f>G149*I149</f>
        <v>344508956</v>
      </c>
      <c r="P149" s="94"/>
      <c r="Q149" s="94"/>
      <c r="R149" s="94"/>
      <c r="S149" s="94"/>
      <c r="T149" s="94" t="s">
        <v>25</v>
      </c>
      <c r="U149" s="87"/>
      <c r="V149" s="87">
        <f>SUM(V142:V145)</f>
        <v>4465527</v>
      </c>
      <c r="W149" s="87"/>
      <c r="X149" s="94"/>
      <c r="Y149" t="s">
        <v>25</v>
      </c>
      <c r="Z149" t="s">
        <v>25</v>
      </c>
      <c r="AH149" s="97">
        <v>129</v>
      </c>
      <c r="AI149" s="111" t="s">
        <v>4798</v>
      </c>
      <c r="AJ149" s="111">
        <v>1000000</v>
      </c>
      <c r="AK149" s="97">
        <v>1</v>
      </c>
      <c r="AL149" s="20">
        <f t="shared" si="61"/>
        <v>618</v>
      </c>
      <c r="AM149" s="115">
        <f>AJ149*AL149</f>
        <v>618000000</v>
      </c>
      <c r="AN149" s="20"/>
    </row>
    <row r="150" spans="5:44">
      <c r="E150" s="121"/>
      <c r="G150" s="1">
        <f>P44</f>
        <v>17900</v>
      </c>
      <c r="H150" s="210" t="s">
        <v>4362</v>
      </c>
      <c r="I150" s="210">
        <v>0</v>
      </c>
      <c r="J150" s="1">
        <f>G150*I150</f>
        <v>0</v>
      </c>
      <c r="Q150" s="94" t="s">
        <v>25</v>
      </c>
      <c r="R150" s="94"/>
      <c r="S150" s="94"/>
      <c r="T150" s="94" t="s">
        <v>25</v>
      </c>
      <c r="U150" s="87"/>
      <c r="V150" s="87">
        <f>V149-U462</f>
        <v>0</v>
      </c>
      <c r="W150" s="87"/>
      <c r="X150" s="94"/>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-27215127.637532711</v>
      </c>
      <c r="X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194508956</v>
      </c>
      <c r="J152" s="1">
        <f>SUM(J149:J150)</f>
        <v>344508956</v>
      </c>
      <c r="K152" t="s">
        <v>25</v>
      </c>
      <c r="Q152" s="94"/>
      <c r="R152" s="94"/>
      <c r="S152" s="94"/>
      <c r="T152" s="94"/>
      <c r="U152" s="87"/>
      <c r="V152" s="87" t="s">
        <v>4947</v>
      </c>
      <c r="W152" s="140">
        <f>W145+W144-R160</f>
        <v>48681891.748958647</v>
      </c>
      <c r="X152" s="113"/>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61"/>
        <v>595</v>
      </c>
      <c r="AM154" s="115">
        <f t="shared" si="62"/>
        <v>922250000</v>
      </c>
      <c r="AN154" s="20"/>
    </row>
    <row r="155" spans="5:44">
      <c r="N155" s="94"/>
      <c r="O155" s="94"/>
      <c r="P155" s="112" t="s">
        <v>25</v>
      </c>
      <c r="S155" s="94"/>
      <c r="T155" s="94"/>
      <c r="V155" s="94"/>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3">U157*V157</f>
        <v>239024000</v>
      </c>
      <c r="X157" s="97"/>
      <c r="AH157" s="97">
        <v>137</v>
      </c>
      <c r="AI157" s="111" t="s">
        <v>4900</v>
      </c>
      <c r="AJ157" s="111">
        <v>2100000</v>
      </c>
      <c r="AK157" s="97">
        <v>1</v>
      </c>
      <c r="AL157" s="20">
        <f t="shared" si="61"/>
        <v>573</v>
      </c>
      <c r="AM157" s="115">
        <f t="shared" si="62"/>
        <v>1203300000</v>
      </c>
      <c r="AN157" s="20"/>
    </row>
    <row r="158" spans="5:44">
      <c r="G158" s="97">
        <f>P45</f>
        <v>1114</v>
      </c>
      <c r="H158" s="97" t="s">
        <v>4220</v>
      </c>
      <c r="I158" s="97">
        <v>19848</v>
      </c>
      <c r="J158" s="1">
        <f>G158*I158</f>
        <v>22110672</v>
      </c>
      <c r="N158" s="94"/>
      <c r="O158" s="94"/>
      <c r="P158" s="112"/>
      <c r="Q158" s="36" t="s">
        <v>4520</v>
      </c>
      <c r="R158" s="93">
        <f>SUM(N41:N47)</f>
        <v>5096038282</v>
      </c>
      <c r="T158" s="166" t="s">
        <v>4403</v>
      </c>
      <c r="U158" s="54">
        <v>5904</v>
      </c>
      <c r="V158" s="111">
        <v>237.148</v>
      </c>
      <c r="W158" s="111">
        <f t="shared" si="63"/>
        <v>1400121.7919999999</v>
      </c>
      <c r="X158" s="97" t="s">
        <v>744</v>
      </c>
      <c r="Z158" t="s">
        <v>25</v>
      </c>
      <c r="AH158" s="97">
        <v>138</v>
      </c>
      <c r="AI158" s="111" t="s">
        <v>4903</v>
      </c>
      <c r="AJ158" s="111">
        <v>100000</v>
      </c>
      <c r="AK158" s="97">
        <v>4</v>
      </c>
      <c r="AL158" s="20">
        <f>AL159+AK158</f>
        <v>572</v>
      </c>
      <c r="AM158" s="115">
        <f t="shared" si="62"/>
        <v>57200000</v>
      </c>
      <c r="AN158" s="20"/>
    </row>
    <row r="159" spans="5:44">
      <c r="G159" s="97">
        <f>P44</f>
        <v>17900</v>
      </c>
      <c r="H159" s="97" t="s">
        <v>5859</v>
      </c>
      <c r="I159" s="97">
        <v>1150</v>
      </c>
      <c r="J159" s="1">
        <f>G159*I159</f>
        <v>20585000</v>
      </c>
      <c r="N159" s="94"/>
      <c r="O159" s="94"/>
      <c r="P159" s="112"/>
      <c r="Q159" s="97" t="s">
        <v>4412</v>
      </c>
      <c r="R159" s="93">
        <f>SUM(N21:N23)</f>
        <v>2847022610</v>
      </c>
      <c r="T159" s="166" t="s">
        <v>4209</v>
      </c>
      <c r="U159" s="166">
        <v>1000</v>
      </c>
      <c r="V159" s="111">
        <v>247.393</v>
      </c>
      <c r="W159" s="111">
        <f t="shared" si="63"/>
        <v>247393</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4413</v>
      </c>
      <c r="R160" s="93">
        <f>SUM(N26:N28)</f>
        <v>344656004</v>
      </c>
      <c r="T160" s="166" t="s">
        <v>4449</v>
      </c>
      <c r="U160" s="166">
        <v>8071</v>
      </c>
      <c r="V160" s="111">
        <v>247.797</v>
      </c>
      <c r="W160" s="111">
        <f t="shared" si="63"/>
        <v>1999969.5870000001</v>
      </c>
      <c r="X160" s="97" t="s">
        <v>4410</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3"/>
        <v>13299760.584000001</v>
      </c>
      <c r="X161" s="97" t="s">
        <v>452</v>
      </c>
      <c r="Y161" t="s">
        <v>25</v>
      </c>
      <c r="AA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43895672</v>
      </c>
      <c r="J162" s="1"/>
      <c r="K162" s="94"/>
      <c r="L162" s="94"/>
      <c r="N162" s="112"/>
      <c r="O162" s="112"/>
      <c r="P162" s="112"/>
      <c r="Q162" s="97" t="s">
        <v>4415</v>
      </c>
      <c r="R162" s="93">
        <f>N20</f>
        <v>456</v>
      </c>
      <c r="T162" s="166" t="s">
        <v>4457</v>
      </c>
      <c r="U162" s="166">
        <v>4099</v>
      </c>
      <c r="V162" s="111">
        <v>243.93</v>
      </c>
      <c r="W162" s="111">
        <f t="shared" si="63"/>
        <v>999869.07000000007</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4416</v>
      </c>
      <c r="R163" s="93">
        <f>N25</f>
        <v>1055</v>
      </c>
      <c r="T163" s="166" t="s">
        <v>4457</v>
      </c>
      <c r="U163" s="166">
        <v>9301</v>
      </c>
      <c r="V163" s="111">
        <v>243.93</v>
      </c>
      <c r="W163" s="111">
        <f t="shared" si="63"/>
        <v>2268792.9300000002</v>
      </c>
      <c r="X163" s="97" t="s">
        <v>452</v>
      </c>
      <c r="Z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t="s">
        <v>25</v>
      </c>
      <c r="T164" s="166" t="s">
        <v>4462</v>
      </c>
      <c r="U164" s="166">
        <v>8334</v>
      </c>
      <c r="V164" s="111">
        <v>239.97</v>
      </c>
      <c r="W164" s="111">
        <f t="shared" si="63"/>
        <v>1999909.98</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3"/>
        <v>6779621.4499999993</v>
      </c>
      <c r="X165" s="97" t="s">
        <v>744</v>
      </c>
      <c r="Y165" s="120" t="s">
        <v>25</v>
      </c>
      <c r="AH165" s="97">
        <v>145</v>
      </c>
      <c r="AI165" s="111" t="s">
        <v>4920</v>
      </c>
      <c r="AJ165" s="111">
        <v>360000</v>
      </c>
      <c r="AK165" s="97">
        <v>1</v>
      </c>
      <c r="AL165" s="20">
        <f t="shared" si="64"/>
        <v>567</v>
      </c>
      <c r="AM165" s="115">
        <f t="shared" si="65"/>
        <v>204120000</v>
      </c>
      <c r="AN165" s="20"/>
    </row>
    <row r="166" spans="7:43">
      <c r="G166" s="32">
        <f>O21+O28+O45+I149</f>
        <v>7391629</v>
      </c>
      <c r="H166" s="32" t="s">
        <v>5491</v>
      </c>
      <c r="I166" s="32">
        <f>O22+O26+O44+I150+O41</f>
        <v>47381</v>
      </c>
      <c r="J166" s="112"/>
      <c r="K166" s="94"/>
      <c r="L166" s="94"/>
      <c r="M166" s="94"/>
      <c r="O166" s="112"/>
      <c r="P166" s="112"/>
      <c r="Q166" s="97" t="s">
        <v>5812</v>
      </c>
      <c r="R166" s="93">
        <v>-88479</v>
      </c>
      <c r="S166" s="94"/>
      <c r="T166" s="166" t="s">
        <v>979</v>
      </c>
      <c r="U166" s="166">
        <v>12337</v>
      </c>
      <c r="V166" s="111">
        <v>243.16300000000001</v>
      </c>
      <c r="W166" s="111">
        <f t="shared" si="63"/>
        <v>2999901.9310000003</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228011.16157989227</v>
      </c>
      <c r="H167" s="294" t="s">
        <v>5492</v>
      </c>
      <c r="I167" s="32">
        <f>(J149+N27+N45+N43+N28+N23+N21)/P44</f>
        <v>471256.79921787709</v>
      </c>
      <c r="J167" s="112"/>
      <c r="K167" s="94"/>
      <c r="L167" s="94" t="s">
        <v>25</v>
      </c>
      <c r="M167" s="94"/>
      <c r="O167" s="112"/>
      <c r="P167" s="112"/>
      <c r="Q167" s="97"/>
      <c r="R167" s="93"/>
      <c r="S167" s="94"/>
      <c r="T167" s="166" t="s">
        <v>4538</v>
      </c>
      <c r="U167" s="166">
        <v>-16118</v>
      </c>
      <c r="V167" s="111">
        <v>248.17</v>
      </c>
      <c r="W167" s="111">
        <f t="shared" si="63"/>
        <v>-4000004.0599999996</v>
      </c>
      <c r="X167" s="97" t="s">
        <v>744</v>
      </c>
      <c r="Y167" t="s">
        <v>25</v>
      </c>
      <c r="AH167" s="97">
        <v>147</v>
      </c>
      <c r="AI167" s="111" t="s">
        <v>4919</v>
      </c>
      <c r="AJ167" s="111">
        <v>-658226</v>
      </c>
      <c r="AK167" s="97">
        <v>1</v>
      </c>
      <c r="AL167" s="20">
        <f t="shared" si="64"/>
        <v>565</v>
      </c>
      <c r="AM167" s="115">
        <f t="shared" si="65"/>
        <v>-371897690</v>
      </c>
      <c r="AN167" s="20"/>
    </row>
    <row r="168" spans="7:43">
      <c r="G168" s="32">
        <f>G166+G167</f>
        <v>7619640.161579892</v>
      </c>
      <c r="H168" s="32" t="s">
        <v>5493</v>
      </c>
      <c r="I168" s="32">
        <f>I166+I167</f>
        <v>518637.79921787709</v>
      </c>
      <c r="J168" s="112"/>
      <c r="K168" s="94"/>
      <c r="L168" s="94"/>
      <c r="P168" s="112"/>
      <c r="Q168" s="97" t="s">
        <v>5854</v>
      </c>
      <c r="R168" s="93">
        <f>439*P44</f>
        <v>7858100</v>
      </c>
      <c r="T168" s="166" t="s">
        <v>4560</v>
      </c>
      <c r="U168" s="166">
        <v>101681</v>
      </c>
      <c r="V168" s="111">
        <v>246.5711</v>
      </c>
      <c r="W168" s="111">
        <f t="shared" si="63"/>
        <v>25071596.019099999</v>
      </c>
      <c r="X168" s="97" t="s">
        <v>452</v>
      </c>
      <c r="AH168" s="97">
        <v>148</v>
      </c>
      <c r="AI168" s="111" t="s">
        <v>4924</v>
      </c>
      <c r="AJ168" s="111">
        <v>1000000</v>
      </c>
      <c r="AK168" s="97">
        <v>15</v>
      </c>
      <c r="AL168" s="20">
        <f t="shared" si="64"/>
        <v>564</v>
      </c>
      <c r="AM168" s="115">
        <f t="shared" si="65"/>
        <v>564000000</v>
      </c>
      <c r="AN168" s="20"/>
      <c r="AP168" t="s">
        <v>25</v>
      </c>
    </row>
    <row r="169" spans="7:43">
      <c r="G169" s="32">
        <f>(W144+W145)/P45</f>
        <v>353086.08235992695</v>
      </c>
      <c r="H169" s="32" t="s">
        <v>5468</v>
      </c>
      <c r="I169" s="32">
        <f>(W144+W145)/P44</f>
        <v>21974.184120053556</v>
      </c>
      <c r="J169" s="112"/>
      <c r="K169" s="94"/>
      <c r="L169" s="94"/>
      <c r="M169" s="94"/>
      <c r="P169" s="112"/>
      <c r="Q169" s="97" t="s">
        <v>5855</v>
      </c>
      <c r="R169" s="93">
        <f>711*P44</f>
        <v>12726900</v>
      </c>
      <c r="S169" s="94"/>
      <c r="T169" s="166" t="s">
        <v>4564</v>
      </c>
      <c r="U169" s="166">
        <v>66606</v>
      </c>
      <c r="V169" s="111">
        <v>251.131</v>
      </c>
      <c r="W169" s="111">
        <f t="shared" si="63"/>
        <v>16726831.386</v>
      </c>
      <c r="X169" s="97" t="s">
        <v>744</v>
      </c>
      <c r="AH169" s="97">
        <v>149</v>
      </c>
      <c r="AI169" s="111" t="s">
        <v>4952</v>
      </c>
      <c r="AJ169" s="111">
        <v>1130250</v>
      </c>
      <c r="AK169" s="97">
        <v>5</v>
      </c>
      <c r="AL169" s="20">
        <f t="shared" si="61"/>
        <v>549</v>
      </c>
      <c r="AM169" s="115">
        <f t="shared" si="62"/>
        <v>620507250</v>
      </c>
      <c r="AN169" s="20"/>
    </row>
    <row r="170" spans="7:43">
      <c r="G170" s="32">
        <f>W142/P45</f>
        <v>2531245.4958370444</v>
      </c>
      <c r="H170" s="32" t="s">
        <v>481</v>
      </c>
      <c r="I170" s="32">
        <f>W142/P44</f>
        <v>157531.14426605962</v>
      </c>
      <c r="J170" s="112"/>
      <c r="K170" s="94"/>
      <c r="L170" s="94"/>
      <c r="P170" s="112"/>
      <c r="Q170" s="97" t="s">
        <v>5856</v>
      </c>
      <c r="R170" s="93">
        <f>-8020*P45</f>
        <v>-8934280</v>
      </c>
      <c r="S170" s="113" t="s">
        <v>25</v>
      </c>
      <c r="T170" s="166" t="s">
        <v>4569</v>
      </c>
      <c r="U170" s="166">
        <v>172025</v>
      </c>
      <c r="V170" s="111">
        <v>245.52809999999999</v>
      </c>
      <c r="W170" s="111">
        <f t="shared" si="63"/>
        <v>42236971.402499996</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4735308.5833829213</v>
      </c>
      <c r="H171" s="32" t="s">
        <v>5</v>
      </c>
      <c r="I171" s="32">
        <f>I168-I169-I170</f>
        <v>339132.47083176393</v>
      </c>
      <c r="J171" s="112"/>
      <c r="K171" s="94"/>
      <c r="L171" s="94"/>
      <c r="M171" t="s">
        <v>25</v>
      </c>
      <c r="P171" s="112"/>
      <c r="Q171" s="97" t="s">
        <v>5081</v>
      </c>
      <c r="R171" s="93">
        <v>0</v>
      </c>
      <c r="S171" s="120" t="s">
        <v>25</v>
      </c>
      <c r="T171" s="166" t="s">
        <v>4569</v>
      </c>
      <c r="U171" s="166">
        <v>189227</v>
      </c>
      <c r="V171" s="111">
        <v>245.52809999999999</v>
      </c>
      <c r="W171" s="111">
        <f t="shared" si="63"/>
        <v>46460545.778700002</v>
      </c>
      <c r="X171" s="97" t="s">
        <v>744</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452</v>
      </c>
      <c r="Y172" s="8" t="s">
        <v>25</v>
      </c>
      <c r="Z172" t="s">
        <v>25</v>
      </c>
      <c r="AH172" s="97">
        <v>152</v>
      </c>
      <c r="AI172" s="111" t="s">
        <v>4971</v>
      </c>
      <c r="AJ172" s="111">
        <v>105000</v>
      </c>
      <c r="AK172" s="97">
        <v>4</v>
      </c>
      <c r="AL172" s="20">
        <f t="shared" si="61"/>
        <v>540</v>
      </c>
      <c r="AM172" s="115">
        <f t="shared" si="62"/>
        <v>56700000</v>
      </c>
      <c r="AN172" s="20"/>
    </row>
    <row r="173" spans="7:43">
      <c r="P173" s="112"/>
      <c r="Q173" s="97"/>
      <c r="R173" s="93"/>
      <c r="S173" s="113"/>
      <c r="T173" s="166" t="s">
        <v>4570</v>
      </c>
      <c r="U173" s="166">
        <v>79720</v>
      </c>
      <c r="V173" s="111">
        <v>246.6568</v>
      </c>
      <c r="W173" s="111">
        <f t="shared" si="63"/>
        <v>19663480.096000001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7" t="s">
        <v>4420</v>
      </c>
      <c r="R174" s="93">
        <f>SUM(R158:R173)</f>
        <v>8299286494</v>
      </c>
      <c r="T174" s="166" t="s">
        <v>4593</v>
      </c>
      <c r="U174" s="166">
        <v>17769</v>
      </c>
      <c r="V174" s="111">
        <v>246.17877999999999</v>
      </c>
      <c r="W174" s="111">
        <f t="shared" si="63"/>
        <v>4374350.7418200001</v>
      </c>
      <c r="X174" s="97" t="s">
        <v>744</v>
      </c>
      <c r="AH174" s="97">
        <v>154</v>
      </c>
      <c r="AI174" s="111" t="s">
        <v>4976</v>
      </c>
      <c r="AJ174" s="111">
        <v>2500000</v>
      </c>
      <c r="AK174" s="97">
        <v>2</v>
      </c>
      <c r="AL174" s="20">
        <f t="shared" si="61"/>
        <v>535</v>
      </c>
      <c r="AM174" s="115">
        <f t="shared" si="62"/>
        <v>1337500000</v>
      </c>
      <c r="AN174" s="20"/>
    </row>
    <row r="175" spans="7:43">
      <c r="P175" s="112"/>
      <c r="Q175" s="94"/>
      <c r="T175" s="166" t="s">
        <v>4593</v>
      </c>
      <c r="U175" s="166">
        <v>17769</v>
      </c>
      <c r="V175" s="111">
        <v>246.17877999999999</v>
      </c>
      <c r="W175" s="111">
        <f t="shared" si="63"/>
        <v>4374350.7418200001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3"/>
        <v>3000103.5610799999</v>
      </c>
      <c r="X176" s="97" t="s">
        <v>4410</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t="s">
        <v>8</v>
      </c>
      <c r="R177" s="210" t="s">
        <v>4410</v>
      </c>
      <c r="S177" s="210"/>
      <c r="T177" s="166" t="s">
        <v>4604</v>
      </c>
      <c r="U177" s="166">
        <v>27363</v>
      </c>
      <c r="V177" s="111">
        <v>239.3886</v>
      </c>
      <c r="W177" s="111">
        <f t="shared" si="63"/>
        <v>6550390.2617999995</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71" t="s">
        <v>180</v>
      </c>
      <c r="S178" s="210" t="s">
        <v>267</v>
      </c>
      <c r="T178" s="166" t="s">
        <v>4604</v>
      </c>
      <c r="U178" s="166">
        <v>27363</v>
      </c>
      <c r="V178" s="111">
        <v>239.3886</v>
      </c>
      <c r="W178" s="111">
        <f t="shared" si="63"/>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4403</v>
      </c>
      <c r="S179" s="111">
        <v>3000000</v>
      </c>
      <c r="T179" s="207" t="s">
        <v>4606</v>
      </c>
      <c r="U179" s="207">
        <v>27437</v>
      </c>
      <c r="V179" s="111">
        <v>242.4015</v>
      </c>
      <c r="W179" s="111">
        <f t="shared" si="63"/>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4449</v>
      </c>
      <c r="S180" s="111">
        <v>2000000</v>
      </c>
      <c r="T180" s="207" t="s">
        <v>4606</v>
      </c>
      <c r="U180" s="207">
        <v>29104</v>
      </c>
      <c r="V180" s="111">
        <v>242.4015</v>
      </c>
      <c r="W180" s="111">
        <f t="shared" si="63"/>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4457</v>
      </c>
      <c r="S181" s="111">
        <v>1000000</v>
      </c>
      <c r="T181" s="210" t="s">
        <v>4623</v>
      </c>
      <c r="U181" s="210">
        <v>8991</v>
      </c>
      <c r="V181" s="111">
        <v>238.64867000000001</v>
      </c>
      <c r="W181" s="111">
        <f t="shared" si="63"/>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4462</v>
      </c>
      <c r="S182" s="111">
        <v>2000000</v>
      </c>
      <c r="T182" s="210" t="s">
        <v>4623</v>
      </c>
      <c r="U182" s="210">
        <v>8991</v>
      </c>
      <c r="V182" s="111">
        <v>238.64867000000001</v>
      </c>
      <c r="W182" s="111">
        <f t="shared" si="63"/>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979</v>
      </c>
      <c r="S183" s="111">
        <v>3000000</v>
      </c>
      <c r="T183" s="210" t="s">
        <v>4634</v>
      </c>
      <c r="U183" s="210">
        <v>18170</v>
      </c>
      <c r="V183" s="111">
        <v>240.48475999999999</v>
      </c>
      <c r="W183" s="111">
        <f t="shared" si="63"/>
        <v>4369608.0892000003</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4595</v>
      </c>
      <c r="S184" s="111">
        <v>3000000</v>
      </c>
      <c r="T184" s="210" t="s">
        <v>4634</v>
      </c>
      <c r="U184" s="210">
        <v>18170</v>
      </c>
      <c r="V184" s="111">
        <v>240.48475999999999</v>
      </c>
      <c r="W184" s="111">
        <f t="shared" si="63"/>
        <v>4369608.0892000003</v>
      </c>
      <c r="X184" s="97" t="s">
        <v>452</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4767</v>
      </c>
      <c r="R185" s="210" t="s">
        <v>4762</v>
      </c>
      <c r="S185" s="111">
        <v>-800000</v>
      </c>
      <c r="T185" s="210" t="s">
        <v>4636</v>
      </c>
      <c r="U185" s="210">
        <v>36797</v>
      </c>
      <c r="V185" s="111">
        <v>239.0822</v>
      </c>
      <c r="W185" s="111">
        <f t="shared" si="63"/>
        <v>8797507.7134000007</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3"/>
        <v>8797507.7134000007</v>
      </c>
      <c r="X186" s="97" t="s">
        <v>452</v>
      </c>
      <c r="Z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3"/>
        <v>6667631.2002000008</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3"/>
        <v>6667631.2002000008</v>
      </c>
      <c r="X188" s="97" t="s">
        <v>452</v>
      </c>
      <c r="Y188" t="s">
        <v>25</v>
      </c>
      <c r="AH188" s="97">
        <v>168</v>
      </c>
      <c r="AI188" s="111" t="s">
        <v>5073</v>
      </c>
      <c r="AJ188" s="111">
        <v>30000</v>
      </c>
      <c r="AK188" s="97">
        <v>7</v>
      </c>
      <c r="AL188" s="20">
        <f t="shared" si="68"/>
        <v>468</v>
      </c>
      <c r="AM188" s="115">
        <f t="shared" si="69"/>
        <v>14040000</v>
      </c>
      <c r="AN188" s="20"/>
    </row>
    <row r="189" spans="5:43">
      <c r="Q189" s="19" t="s">
        <v>4872</v>
      </c>
      <c r="R189" s="19" t="s">
        <v>4870</v>
      </c>
      <c r="S189" s="115">
        <v>2000000</v>
      </c>
      <c r="T189" s="210" t="s">
        <v>3668</v>
      </c>
      <c r="U189" s="210">
        <v>37457</v>
      </c>
      <c r="V189" s="111">
        <v>239.77</v>
      </c>
      <c r="W189" s="111">
        <f t="shared" si="63"/>
        <v>8981064.8900000006</v>
      </c>
      <c r="X189" s="97" t="s">
        <v>744</v>
      </c>
      <c r="AH189" s="97">
        <v>169</v>
      </c>
      <c r="AI189" s="111" t="s">
        <v>5031</v>
      </c>
      <c r="AJ189" s="111">
        <v>-10000000</v>
      </c>
      <c r="AK189" s="97">
        <v>0</v>
      </c>
      <c r="AL189" s="20">
        <f t="shared" si="68"/>
        <v>461</v>
      </c>
      <c r="AM189" s="115">
        <f t="shared" si="69"/>
        <v>-4610000000</v>
      </c>
      <c r="AN189" s="20" t="s">
        <v>4990</v>
      </c>
    </row>
    <row r="190" spans="5:43">
      <c r="Q190" s="187" t="s">
        <v>4894</v>
      </c>
      <c r="R190" s="187" t="s">
        <v>4893</v>
      </c>
      <c r="S190" s="186">
        <v>480105</v>
      </c>
      <c r="T190" s="210" t="s">
        <v>3668</v>
      </c>
      <c r="U190" s="210">
        <v>37457</v>
      </c>
      <c r="V190" s="111">
        <v>239.77</v>
      </c>
      <c r="W190" s="111">
        <f t="shared" si="63"/>
        <v>8981064.8900000006</v>
      </c>
      <c r="X190" s="97" t="s">
        <v>452</v>
      </c>
      <c r="Y190" s="94"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3"/>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3"/>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3"/>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3"/>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3"/>
        <v>41247832.126000002</v>
      </c>
      <c r="X195" s="97" t="s">
        <v>744</v>
      </c>
      <c r="Y195" t="s">
        <v>25</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3"/>
        <v>41247832.126000002</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3"/>
        <v>37328539.346100003</v>
      </c>
      <c r="X197" s="97" t="s">
        <v>744</v>
      </c>
      <c r="Z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3"/>
        <v>37328539.346100003</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5175</v>
      </c>
      <c r="S199" s="115">
        <v>-122000</v>
      </c>
      <c r="T199" s="166" t="s">
        <v>4687</v>
      </c>
      <c r="U199" s="166">
        <v>196500</v>
      </c>
      <c r="V199" s="111">
        <v>254.452</v>
      </c>
      <c r="W199" s="111">
        <f t="shared" si="63"/>
        <v>49999818</v>
      </c>
      <c r="X199" s="97" t="s">
        <v>4691</v>
      </c>
      <c r="Y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5183</v>
      </c>
      <c r="S200" s="115">
        <v>-700000</v>
      </c>
      <c r="T200" s="210" t="s">
        <v>4687</v>
      </c>
      <c r="U200" s="210">
        <v>2561</v>
      </c>
      <c r="V200" s="111">
        <v>254.536</v>
      </c>
      <c r="W200" s="111">
        <f t="shared" si="63"/>
        <v>651866.696</v>
      </c>
      <c r="X200" s="97" t="s">
        <v>4692</v>
      </c>
      <c r="AA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3"/>
        <v>-2999869.5300000003</v>
      </c>
      <c r="X201" s="97" t="s">
        <v>4735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3"/>
        <v>2999869.5300000003</v>
      </c>
      <c r="X202" s="97" t="s">
        <v>4736</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3"/>
        <v>68429.399999999994</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3"/>
        <v>4000235.57626</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3"/>
        <v>2249737.4531999999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3"/>
        <v>-1700002.4685</v>
      </c>
      <c r="X206" s="97" t="s">
        <v>4773</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3"/>
        <v>-2194205.1510000001</v>
      </c>
      <c r="X207" s="97" t="s">
        <v>744</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3"/>
        <v>-2512356.6839999999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3"/>
        <v>297616.79550000001</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3"/>
        <v>-1099840.5404999999</v>
      </c>
      <c r="X210" s="97" t="s">
        <v>4410</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3"/>
        <v>1099840.5404999999</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3"/>
        <v>889938.98070000007</v>
      </c>
      <c r="X212" s="97" t="s">
        <v>452</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3"/>
        <v>29999874.727419998</v>
      </c>
      <c r="X213" s="97" t="s">
        <v>1071</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3"/>
        <v>999743.26599999995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3"/>
        <v>20193861.870000001</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3"/>
        <v>45436189.207500003</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3"/>
        <v>-3499787.9975000005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3"/>
        <v>2520053.9208</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3"/>
        <v>4899987.78345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3"/>
        <v>1149774.4651500001</v>
      </c>
      <c r="X220" s="97" t="s">
        <v>452</v>
      </c>
      <c r="Z220" t="s">
        <v>25</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3"/>
        <v>-1999982.298</v>
      </c>
      <c r="X221" s="97" t="s">
        <v>744</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3"/>
        <v>1999982.298</v>
      </c>
      <c r="X222" s="97" t="s">
        <v>4410</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3"/>
        <v>250038.06400000001</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3"/>
        <v>479999.04</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3"/>
        <v>1403400.3125</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3"/>
        <v>199992</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3"/>
        <v>344859.3</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3"/>
        <v>899889.07200000004</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3"/>
        <v>372628.8</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3"/>
        <v>6489266</v>
      </c>
      <c r="X230" s="97" t="s">
        <v>452</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3"/>
        <v>30499768.199999999</v>
      </c>
      <c r="X231" s="97" t="s">
        <v>1071</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3"/>
        <v>6799964.3250000002</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3"/>
        <v>849710.78500000003</v>
      </c>
      <c r="X233" s="97" t="s">
        <v>744</v>
      </c>
      <c r="AA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3"/>
        <v>2290275</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t="s">
        <v>5823</v>
      </c>
      <c r="S235" s="186">
        <v>90000000</v>
      </c>
      <c r="T235" s="210" t="s">
        <v>4960</v>
      </c>
      <c r="U235" s="210">
        <v>1850</v>
      </c>
      <c r="V235" s="111">
        <v>334.10050000000001</v>
      </c>
      <c r="W235" s="111">
        <f t="shared" si="63"/>
        <v>618085.92500000005</v>
      </c>
      <c r="X235" s="97" t="s">
        <v>452</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87"/>
      <c r="R236" s="187"/>
      <c r="S236" s="186"/>
      <c r="T236" s="210" t="s">
        <v>4960</v>
      </c>
      <c r="U236" s="210">
        <v>-1194</v>
      </c>
      <c r="V236" s="111">
        <v>335</v>
      </c>
      <c r="W236" s="111">
        <f t="shared" si="63"/>
        <v>-399990</v>
      </c>
      <c r="X236" s="97" t="s">
        <v>4410</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9"/>
      <c r="R237" s="19"/>
      <c r="S237" s="115"/>
      <c r="T237" s="210" t="s">
        <v>4960</v>
      </c>
      <c r="U237" s="210">
        <v>1194</v>
      </c>
      <c r="V237" s="111">
        <v>335</v>
      </c>
      <c r="W237" s="111">
        <f t="shared" si="63"/>
        <v>399990</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3"/>
        <v>149679.44</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c r="R239" s="210"/>
      <c r="S239" s="111">
        <f>SUM(S179:S238)</f>
        <v>76858365.693000004</v>
      </c>
      <c r="T239" s="210" t="s">
        <v>4971</v>
      </c>
      <c r="U239" s="210">
        <v>55459</v>
      </c>
      <c r="V239" s="111">
        <v>362.51978000000003</v>
      </c>
      <c r="W239" s="111">
        <f t="shared" si="63"/>
        <v>20104984.479020003</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3"/>
        <v>-21079990.248</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c r="T241" s="210" t="s">
        <v>4976</v>
      </c>
      <c r="U241" s="210">
        <v>-15881</v>
      </c>
      <c r="V241" s="111">
        <v>374.61599999999999</v>
      </c>
      <c r="W241" s="111">
        <f t="shared" si="63"/>
        <v>-5949276.6959999995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T242" s="210" t="s">
        <v>4982</v>
      </c>
      <c r="U242" s="210">
        <v>-41289</v>
      </c>
      <c r="V242" s="111">
        <v>372.27</v>
      </c>
      <c r="W242" s="111">
        <f t="shared" si="63"/>
        <v>-15370656.029999999</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3"/>
        <v>4959961.9739999995</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S244" t="s">
        <v>25</v>
      </c>
      <c r="T244" s="210" t="s">
        <v>4988</v>
      </c>
      <c r="U244" s="210">
        <v>27344</v>
      </c>
      <c r="V244" s="111">
        <v>365.69799999999998</v>
      </c>
      <c r="W244" s="111">
        <f t="shared" si="63"/>
        <v>9999646.1119999997</v>
      </c>
      <c r="X244" s="97" t="s">
        <v>452</v>
      </c>
      <c r="AH244" s="97">
        <v>224</v>
      </c>
      <c r="AI244" s="111" t="s">
        <v>5788</v>
      </c>
      <c r="AJ244" s="111">
        <v>20000</v>
      </c>
      <c r="AK244" s="97">
        <v>7</v>
      </c>
      <c r="AL244" s="20">
        <f t="shared" si="74"/>
        <v>9</v>
      </c>
      <c r="AM244" s="115">
        <f t="shared" si="75"/>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3"/>
        <v>-40570435.43</v>
      </c>
      <c r="X245" s="36" t="s">
        <v>5000</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4403</v>
      </c>
      <c r="R246" s="93">
        <v>172908000</v>
      </c>
      <c r="T246" s="210" t="s">
        <v>4995</v>
      </c>
      <c r="U246" s="210">
        <v>-369</v>
      </c>
      <c r="V246" s="111">
        <v>393.334</v>
      </c>
      <c r="W246" s="111">
        <f t="shared" si="63"/>
        <v>-145140.24600000001</v>
      </c>
      <c r="X246" s="36" t="s">
        <v>5074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4436</v>
      </c>
      <c r="R247" s="93">
        <v>1400000</v>
      </c>
      <c r="T247" s="210" t="s">
        <v>4995</v>
      </c>
      <c r="U247" s="210">
        <v>-889</v>
      </c>
      <c r="V247" s="111">
        <v>393.334</v>
      </c>
      <c r="W247" s="111">
        <f t="shared" si="63"/>
        <v>-349673.92599999998</v>
      </c>
      <c r="X247" s="36" t="s">
        <v>5075</v>
      </c>
      <c r="AH247" s="97"/>
      <c r="AI247" s="111"/>
      <c r="AJ247" s="111">
        <v>0</v>
      </c>
      <c r="AK247" s="97">
        <v>0</v>
      </c>
      <c r="AL247" s="20">
        <f>AL248+AK247</f>
        <v>0</v>
      </c>
      <c r="AM247" s="115">
        <f t="shared" si="75"/>
        <v>0</v>
      </c>
      <c r="AN247" s="20"/>
    </row>
    <row r="248" spans="7:44">
      <c r="G248" s="210" t="s">
        <v>5693</v>
      </c>
      <c r="H248" s="111">
        <v>6684147.0064600008</v>
      </c>
      <c r="P248" t="s">
        <v>25</v>
      </c>
      <c r="Q248" s="97" t="s">
        <v>4209</v>
      </c>
      <c r="R248" s="93">
        <v>247393</v>
      </c>
      <c r="S248" t="s">
        <v>25</v>
      </c>
      <c r="T248" s="210" t="s">
        <v>5004</v>
      </c>
      <c r="U248" s="210">
        <v>2546</v>
      </c>
      <c r="V248" s="111">
        <v>393</v>
      </c>
      <c r="W248" s="111">
        <f t="shared" si="63"/>
        <v>1000578</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4208</v>
      </c>
      <c r="R249" s="93">
        <v>6780000</v>
      </c>
      <c r="T249" s="210" t="s">
        <v>5005</v>
      </c>
      <c r="U249" s="210">
        <v>1034</v>
      </c>
      <c r="V249" s="111">
        <v>386.608</v>
      </c>
      <c r="W249" s="111">
        <f t="shared" si="63"/>
        <v>399752.67200000002</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4538</v>
      </c>
      <c r="R250" s="93">
        <v>-4000000</v>
      </c>
      <c r="T250" s="210" t="s">
        <v>5012</v>
      </c>
      <c r="U250" s="210">
        <v>300</v>
      </c>
      <c r="V250" s="111">
        <v>400</v>
      </c>
      <c r="W250" s="111">
        <f t="shared" si="63"/>
        <v>120000</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3"/>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3"/>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3"/>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3"/>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3"/>
        <v>64927.5</v>
      </c>
      <c r="X255" s="36" t="s">
        <v>452</v>
      </c>
      <c r="AH255" s="97"/>
      <c r="AI255" s="97" t="s">
        <v>4045</v>
      </c>
      <c r="AJ255" s="93">
        <f>AJ250+AN250</f>
        <v>963164967.48469651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3"/>
        <v>-14053702.1515</v>
      </c>
      <c r="X256" s="36" t="s">
        <v>5052</v>
      </c>
      <c r="AI256" t="s">
        <v>4048</v>
      </c>
      <c r="AJ256" s="112">
        <f>SUM(N39:N47)</f>
        <v>5096044128</v>
      </c>
      <c r="AM256" t="s">
        <v>25</v>
      </c>
    </row>
    <row r="257" spans="7:45">
      <c r="G257" s="210" t="s">
        <v>5722</v>
      </c>
      <c r="H257" s="111">
        <v>2964916.035069</v>
      </c>
      <c r="Q257" s="97" t="s">
        <v>4623</v>
      </c>
      <c r="R257" s="93">
        <v>2145814</v>
      </c>
      <c r="T257" s="210" t="s">
        <v>5018</v>
      </c>
      <c r="U257" s="210">
        <v>8476</v>
      </c>
      <c r="V257" s="111">
        <v>419.49900000000002</v>
      </c>
      <c r="W257" s="111">
        <f t="shared" si="63"/>
        <v>3555673.5240000002</v>
      </c>
      <c r="X257" s="36" t="s">
        <v>5058</v>
      </c>
      <c r="AI257" t="s">
        <v>4119</v>
      </c>
      <c r="AJ257" s="112">
        <f>AJ256-AJ250</f>
        <v>4349708377</v>
      </c>
      <c r="AM257" t="s">
        <v>25</v>
      </c>
    </row>
    <row r="258" spans="7:45">
      <c r="G258" s="210" t="s">
        <v>5723</v>
      </c>
      <c r="H258" s="111">
        <v>6460549.4269619994</v>
      </c>
      <c r="K258" t="s">
        <v>25</v>
      </c>
      <c r="Q258" s="97" t="s">
        <v>4634</v>
      </c>
      <c r="R258" s="93">
        <v>4369730</v>
      </c>
      <c r="T258" s="210" t="s">
        <v>5070</v>
      </c>
      <c r="U258" s="210">
        <v>903</v>
      </c>
      <c r="V258" s="111">
        <v>442.77379999999999</v>
      </c>
      <c r="W258" s="111">
        <f t="shared" si="63"/>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6">U259*V259</f>
        <v>50000.466</v>
      </c>
      <c r="X259" s="36" t="s">
        <v>744</v>
      </c>
      <c r="AI259" t="s">
        <v>4049</v>
      </c>
      <c r="AJ259" s="112">
        <f>AJ256-AJ255</f>
        <v>4132879160.5153036</v>
      </c>
      <c r="AN259" t="s">
        <v>25</v>
      </c>
    </row>
    <row r="260" spans="7:45">
      <c r="G260" s="210" t="s">
        <v>5728</v>
      </c>
      <c r="H260" s="111">
        <v>4524496.4792809999</v>
      </c>
      <c r="Q260" s="97" t="s">
        <v>4645</v>
      </c>
      <c r="R260" s="93">
        <v>6667654</v>
      </c>
      <c r="T260" s="210" t="s">
        <v>5083</v>
      </c>
      <c r="U260" s="210">
        <v>671</v>
      </c>
      <c r="V260" s="111">
        <v>447</v>
      </c>
      <c r="W260" s="111">
        <f t="shared" si="76"/>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6"/>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6"/>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6"/>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6"/>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6"/>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6"/>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6"/>
        <v>-3885243.3547199997</v>
      </c>
      <c r="X267" s="36" t="s">
        <v>5099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6"/>
        <v>11500067.558</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6"/>
        <v>250160</v>
      </c>
      <c r="X269" s="36" t="s">
        <v>744</v>
      </c>
      <c r="AH269" s="97">
        <v>3</v>
      </c>
      <c r="AI269" s="97" t="s">
        <v>4113</v>
      </c>
      <c r="AJ269" s="115">
        <v>150000</v>
      </c>
      <c r="AK269" s="97">
        <v>3</v>
      </c>
      <c r="AL269" s="97">
        <f t="shared" si="77"/>
        <v>846</v>
      </c>
      <c r="AM269" s="97">
        <f t="shared" si="78"/>
        <v>126900000</v>
      </c>
      <c r="AN269" s="97"/>
    </row>
    <row r="270" spans="7:45" ht="30">
      <c r="G270" s="210" t="s">
        <v>5748</v>
      </c>
      <c r="H270" s="111">
        <v>25340079.252110001</v>
      </c>
      <c r="Q270" s="97" t="s">
        <v>4943</v>
      </c>
      <c r="R270" s="93">
        <v>850000</v>
      </c>
      <c r="T270" s="210" t="s">
        <v>5107</v>
      </c>
      <c r="U270" s="210">
        <v>12</v>
      </c>
      <c r="V270" s="111">
        <v>481.86</v>
      </c>
      <c r="W270" s="111">
        <f t="shared" si="76"/>
        <v>5782.32</v>
      </c>
      <c r="X270" s="36" t="s">
        <v>5109</v>
      </c>
      <c r="AH270" s="97">
        <v>4</v>
      </c>
      <c r="AI270" s="97" t="s">
        <v>4128</v>
      </c>
      <c r="AJ270" s="115">
        <v>-95000</v>
      </c>
      <c r="AK270" s="97">
        <v>8</v>
      </c>
      <c r="AL270" s="97">
        <f t="shared" si="77"/>
        <v>843</v>
      </c>
      <c r="AM270" s="97">
        <f t="shared" si="78"/>
        <v>-80085000</v>
      </c>
      <c r="AN270" s="97"/>
    </row>
    <row r="271" spans="7:45">
      <c r="G271" s="210" t="s">
        <v>5749</v>
      </c>
      <c r="H271" s="111">
        <v>14780983.183526</v>
      </c>
      <c r="Q271" s="97" t="s">
        <v>4952</v>
      </c>
      <c r="R271" s="93">
        <v>2290500</v>
      </c>
      <c r="T271" s="187" t="s">
        <v>5132</v>
      </c>
      <c r="U271" s="187">
        <v>12330</v>
      </c>
      <c r="V271" s="186">
        <v>486.63443869999998</v>
      </c>
      <c r="W271" s="186">
        <f t="shared" si="76"/>
        <v>6000202.6291709999</v>
      </c>
      <c r="X271" s="275" t="s">
        <v>5105</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6"/>
        <v>399904.2</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4967</v>
      </c>
      <c r="R273" s="93">
        <v>150000</v>
      </c>
      <c r="T273" s="187" t="s">
        <v>5134</v>
      </c>
      <c r="U273" s="187">
        <v>3173</v>
      </c>
      <c r="V273" s="186">
        <v>472.7</v>
      </c>
      <c r="W273" s="186">
        <f t="shared" si="76"/>
        <v>1499877.0999999999</v>
      </c>
      <c r="X273" s="275" t="s">
        <v>5262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4995</v>
      </c>
      <c r="R274" s="93">
        <v>-144950</v>
      </c>
      <c r="T274" s="210" t="s">
        <v>5138</v>
      </c>
      <c r="U274" s="210">
        <v>191</v>
      </c>
      <c r="V274" s="111">
        <v>484.572</v>
      </c>
      <c r="W274" s="111">
        <f t="shared" si="76"/>
        <v>92553.252000000008</v>
      </c>
      <c r="X274" s="36" t="s">
        <v>5139</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5021</v>
      </c>
      <c r="R275" s="93">
        <v>320000</v>
      </c>
      <c r="T275" s="210" t="s">
        <v>5138</v>
      </c>
      <c r="U275" s="210">
        <v>-206</v>
      </c>
      <c r="V275" s="111">
        <v>484.572</v>
      </c>
      <c r="W275" s="111">
        <f t="shared" si="76"/>
        <v>-99821.831999999995</v>
      </c>
      <c r="X275" s="36" t="s">
        <v>5141</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6"/>
        <v>9999814.1285699997</v>
      </c>
      <c r="X276" s="36" t="s">
        <v>5144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5070</v>
      </c>
      <c r="R277" s="93">
        <v>400000</v>
      </c>
      <c r="S277" t="s">
        <v>25</v>
      </c>
      <c r="T277" s="210" t="s">
        <v>5142</v>
      </c>
      <c r="U277" s="210">
        <v>-413</v>
      </c>
      <c r="V277" s="111">
        <v>483.40199999999999</v>
      </c>
      <c r="W277" s="111">
        <f t="shared" si="76"/>
        <v>-199645.02599999998</v>
      </c>
      <c r="X277" s="36" t="s">
        <v>4410</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6"/>
        <v>199645.02599999998</v>
      </c>
      <c r="X278" s="36" t="s">
        <v>744</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5083</v>
      </c>
      <c r="R279" s="93">
        <v>300000</v>
      </c>
      <c r="T279" s="210" t="s">
        <v>5147</v>
      </c>
      <c r="U279" s="210">
        <v>-828</v>
      </c>
      <c r="V279" s="111">
        <v>483.43312200000003</v>
      </c>
      <c r="W279" s="111">
        <f t="shared" si="76"/>
        <v>-400282.62501600001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5107</v>
      </c>
      <c r="R280" s="93">
        <v>250000</v>
      </c>
      <c r="T280" s="210" t="s">
        <v>5150</v>
      </c>
      <c r="U280" s="210">
        <v>12</v>
      </c>
      <c r="V280" s="111">
        <v>473.61898300000001</v>
      </c>
      <c r="W280" s="111">
        <f t="shared" si="76"/>
        <v>5683.4277959999999</v>
      </c>
      <c r="X280" s="36" t="s">
        <v>452</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5142</v>
      </c>
      <c r="R281" s="93">
        <v>200000</v>
      </c>
      <c r="T281" s="210" t="s">
        <v>5153</v>
      </c>
      <c r="U281" s="210">
        <v>963</v>
      </c>
      <c r="V281" s="111">
        <v>477.92200000000003</v>
      </c>
      <c r="W281" s="111">
        <f t="shared" si="76"/>
        <v>460238.886</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5175</v>
      </c>
      <c r="R282" s="93">
        <v>122000</v>
      </c>
      <c r="T282" s="210" t="s">
        <v>5154</v>
      </c>
      <c r="U282" s="210">
        <v>2815</v>
      </c>
      <c r="V282" s="111">
        <v>461.79</v>
      </c>
      <c r="W282" s="111">
        <f t="shared" si="76"/>
        <v>1299938.8500000001</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5183</v>
      </c>
      <c r="R283" s="93">
        <v>200000</v>
      </c>
      <c r="S283" t="s">
        <v>25</v>
      </c>
      <c r="T283" s="210" t="s">
        <v>5154</v>
      </c>
      <c r="U283" s="210">
        <v>1581</v>
      </c>
      <c r="V283" s="111">
        <v>461.79</v>
      </c>
      <c r="W283" s="111">
        <f t="shared" si="76"/>
        <v>730089.99</v>
      </c>
      <c r="X283" s="36" t="s">
        <v>452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6"/>
        <v>999577.20000000007</v>
      </c>
      <c r="X284" s="275" t="s">
        <v>5262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6"/>
        <v>21093.721000000001</v>
      </c>
      <c r="X285" s="36" t="s">
        <v>5139</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5316</v>
      </c>
      <c r="R286" s="93">
        <v>-9000000</v>
      </c>
      <c r="T286" s="210" t="s">
        <v>4257</v>
      </c>
      <c r="U286" s="210">
        <v>71</v>
      </c>
      <c r="V286" s="111">
        <v>482.57</v>
      </c>
      <c r="W286" s="111">
        <f t="shared" si="76"/>
        <v>34262.47</v>
      </c>
      <c r="X286" s="36" t="s">
        <v>5139</v>
      </c>
      <c r="Y286" t="s">
        <v>25</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5379</v>
      </c>
      <c r="R287" s="93">
        <v>-26000000</v>
      </c>
      <c r="T287" s="210" t="s">
        <v>5175</v>
      </c>
      <c r="U287" s="210">
        <v>-250</v>
      </c>
      <c r="V287" s="111">
        <v>487.125</v>
      </c>
      <c r="W287" s="111">
        <f t="shared" si="76"/>
        <v>-121781.25</v>
      </c>
      <c r="X287" s="36" t="s">
        <v>4410</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5383</v>
      </c>
      <c r="R288" s="93">
        <v>-95900000</v>
      </c>
      <c r="T288" s="210" t="s">
        <v>5175</v>
      </c>
      <c r="U288" s="210">
        <v>250</v>
      </c>
      <c r="V288" s="111">
        <v>487.125</v>
      </c>
      <c r="W288" s="111">
        <f t="shared" si="76"/>
        <v>121781.25</v>
      </c>
      <c r="X288" s="36" t="s">
        <v>744</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5384</v>
      </c>
      <c r="R289" s="93">
        <v>-28950000</v>
      </c>
      <c r="S289" t="s">
        <v>25</v>
      </c>
      <c r="T289" s="210" t="s">
        <v>5183</v>
      </c>
      <c r="U289" s="210">
        <v>-1439</v>
      </c>
      <c r="V289" s="111">
        <v>486.53068999999999</v>
      </c>
      <c r="W289" s="111">
        <f t="shared" si="76"/>
        <v>-700117.66290999996</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5544</v>
      </c>
      <c r="R290" s="93">
        <v>-93000000</v>
      </c>
      <c r="S290" t="s">
        <v>25</v>
      </c>
      <c r="T290" s="210" t="s">
        <v>5183</v>
      </c>
      <c r="U290" s="210">
        <v>411</v>
      </c>
      <c r="V290" s="111">
        <v>486.53068999999999</v>
      </c>
      <c r="W290" s="111">
        <f t="shared" si="76"/>
        <v>199964.11358999999</v>
      </c>
      <c r="X290" s="36" t="s">
        <v>744</v>
      </c>
      <c r="AH290" s="20">
        <v>24</v>
      </c>
      <c r="AI290" s="20" t="s">
        <v>4466</v>
      </c>
      <c r="AJ290" s="115">
        <v>-147902</v>
      </c>
      <c r="AK290" s="20">
        <v>3</v>
      </c>
      <c r="AL290" s="97">
        <f t="shared" si="79"/>
        <v>750</v>
      </c>
      <c r="AM290" s="20">
        <f t="shared" si="78"/>
        <v>-110926500</v>
      </c>
      <c r="AN290" s="20"/>
    </row>
    <row r="291" spans="7:44">
      <c r="G291" s="210" t="s">
        <v>5843</v>
      </c>
      <c r="H291" s="111">
        <v>327451.9203</v>
      </c>
      <c r="Q291" s="97" t="s">
        <v>5556</v>
      </c>
      <c r="R291" s="93">
        <v>50000000</v>
      </c>
      <c r="T291" s="210" t="s">
        <v>5152</v>
      </c>
      <c r="U291" s="210">
        <v>-4290</v>
      </c>
      <c r="V291" s="111">
        <v>497.57670000000002</v>
      </c>
      <c r="W291" s="111">
        <f t="shared" si="76"/>
        <v>-2134604.0430000001</v>
      </c>
      <c r="X291" s="36" t="s">
        <v>452</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4213</v>
      </c>
      <c r="R292" s="93">
        <v>2749471.1668000002</v>
      </c>
      <c r="T292" s="210" t="s">
        <v>5190</v>
      </c>
      <c r="U292" s="210">
        <v>-644</v>
      </c>
      <c r="V292" s="111">
        <v>494.76464499999997</v>
      </c>
      <c r="W292" s="111">
        <f t="shared" si="76"/>
        <v>-318628.43137999997</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t="s">
        <v>5648</v>
      </c>
      <c r="R293" s="93">
        <v>-680940.07019999996</v>
      </c>
      <c r="T293" s="210" t="s">
        <v>5193</v>
      </c>
      <c r="U293" s="210">
        <v>-112</v>
      </c>
      <c r="V293" s="111">
        <v>485.78</v>
      </c>
      <c r="W293" s="111">
        <f t="shared" si="76"/>
        <v>-54407.360000000001</v>
      </c>
      <c r="X293" s="36" t="s">
        <v>452</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t="s">
        <v>5648</v>
      </c>
      <c r="R294" s="93">
        <v>-48684800.338199995</v>
      </c>
      <c r="T294" s="210" t="s">
        <v>5193</v>
      </c>
      <c r="U294" s="210">
        <v>123</v>
      </c>
      <c r="V294" s="111">
        <v>485.78</v>
      </c>
      <c r="W294" s="111">
        <f t="shared" si="76"/>
        <v>59750.939999999995</v>
      </c>
      <c r="X294" s="36" t="s">
        <v>744</v>
      </c>
      <c r="Z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t="s">
        <v>5672</v>
      </c>
      <c r="R295" s="93">
        <v>1500000</v>
      </c>
      <c r="S295" t="s">
        <v>25</v>
      </c>
      <c r="T295" s="210" t="s">
        <v>5193</v>
      </c>
      <c r="U295" s="210">
        <v>-123</v>
      </c>
      <c r="V295" s="111">
        <v>485.78</v>
      </c>
      <c r="W295" s="111">
        <f t="shared" si="76"/>
        <v>-59750.939999999995</v>
      </c>
      <c r="X295" s="36" t="s">
        <v>4410</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Q296" s="97" t="s">
        <v>965</v>
      </c>
      <c r="R296" s="93">
        <v>11221062</v>
      </c>
      <c r="T296" s="210" t="s">
        <v>5236</v>
      </c>
      <c r="U296" s="210">
        <v>32367</v>
      </c>
      <c r="V296" s="111">
        <v>556.12900000000002</v>
      </c>
      <c r="W296" s="111">
        <f t="shared" si="76"/>
        <v>18000227.343000002</v>
      </c>
      <c r="X296" s="36" t="s">
        <v>452</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Q297" s="97"/>
      <c r="R297" s="93"/>
      <c r="T297" s="210" t="s">
        <v>5252</v>
      </c>
      <c r="U297" s="210">
        <v>1254</v>
      </c>
      <c r="V297" s="111">
        <v>558.24400000000003</v>
      </c>
      <c r="W297" s="111">
        <f t="shared" si="76"/>
        <v>700037.97600000002</v>
      </c>
      <c r="X297" s="36" t="s">
        <v>4410</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c r="R298" s="93">
        <f>SUM(R246:R297)</f>
        <v>200038617.75839999</v>
      </c>
      <c r="S298" t="s">
        <v>25</v>
      </c>
      <c r="T298" s="166" t="s">
        <v>5252</v>
      </c>
      <c r="U298" s="210">
        <v>-358</v>
      </c>
      <c r="V298" s="111">
        <v>558.24400000000003</v>
      </c>
      <c r="W298" s="111">
        <f t="shared" si="76"/>
        <v>-199851.35200000001</v>
      </c>
      <c r="X298" s="36" t="s">
        <v>744</v>
      </c>
      <c r="Y298" t="s">
        <v>25</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c r="R299" s="97" t="s">
        <v>6</v>
      </c>
      <c r="S299" t="s">
        <v>25</v>
      </c>
      <c r="T299" s="187" t="s">
        <v>5261</v>
      </c>
      <c r="U299" s="187">
        <v>-3326</v>
      </c>
      <c r="V299" s="186">
        <v>601.39300000000003</v>
      </c>
      <c r="W299" s="186">
        <f t="shared" si="76"/>
        <v>-2000233.118</v>
      </c>
      <c r="X299" s="275" t="s">
        <v>5105</v>
      </c>
      <c r="AH299" s="119">
        <v>33</v>
      </c>
      <c r="AI299" s="119" t="s">
        <v>4645</v>
      </c>
      <c r="AJ299" s="77">
        <v>17962491</v>
      </c>
      <c r="AK299" s="119">
        <v>1</v>
      </c>
      <c r="AL299" s="119">
        <f t="shared" si="80"/>
        <v>688</v>
      </c>
      <c r="AM299" s="119">
        <f t="shared" si="81"/>
        <v>12358193808</v>
      </c>
      <c r="AN299" s="119" t="s">
        <v>4652</v>
      </c>
    </row>
    <row r="300" spans="7:44">
      <c r="G300" s="210" t="s">
        <v>5889</v>
      </c>
      <c r="H300" s="111">
        <v>146277.56820000001</v>
      </c>
      <c r="R300" t="s">
        <v>25</v>
      </c>
      <c r="T300" s="187" t="s">
        <v>5263</v>
      </c>
      <c r="U300" s="187">
        <v>3326</v>
      </c>
      <c r="V300" s="186">
        <v>601.39300000000003</v>
      </c>
      <c r="W300" s="186">
        <f t="shared" si="76"/>
        <v>2000233.118</v>
      </c>
      <c r="X300" s="275" t="s">
        <v>5105</v>
      </c>
      <c r="Y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T301" s="187" t="s">
        <v>5273</v>
      </c>
      <c r="U301" s="187">
        <v>63259</v>
      </c>
      <c r="V301" s="186">
        <v>632.31960000000004</v>
      </c>
      <c r="W301" s="186">
        <f t="shared" si="76"/>
        <v>39999905.576400004</v>
      </c>
      <c r="X301" s="275" t="s">
        <v>1071</v>
      </c>
      <c r="Z301" t="s">
        <v>25</v>
      </c>
      <c r="AA301" t="s">
        <v>25</v>
      </c>
      <c r="AH301" s="119">
        <v>35</v>
      </c>
      <c r="AI301" s="119" t="s">
        <v>4657</v>
      </c>
      <c r="AJ301" s="77">
        <v>23622417</v>
      </c>
      <c r="AK301" s="119">
        <v>5</v>
      </c>
      <c r="AL301" s="119">
        <f t="shared" si="80"/>
        <v>686</v>
      </c>
      <c r="AM301" s="119">
        <f t="shared" si="81"/>
        <v>16204978062</v>
      </c>
      <c r="AN301" s="119" t="s">
        <v>4659</v>
      </c>
    </row>
    <row r="302" spans="7:44">
      <c r="G302" s="210"/>
      <c r="H302" s="111"/>
      <c r="Q302" s="97" t="s">
        <v>452</v>
      </c>
      <c r="R302" s="97"/>
      <c r="T302" s="19" t="s">
        <v>5277</v>
      </c>
      <c r="U302" s="19">
        <v>-1278</v>
      </c>
      <c r="V302" s="115">
        <v>625.98</v>
      </c>
      <c r="W302" s="115">
        <f t="shared" si="76"/>
        <v>-800002.44000000006</v>
      </c>
      <c r="X302" s="276" t="s">
        <v>5278</v>
      </c>
      <c r="AH302" s="119">
        <v>36</v>
      </c>
      <c r="AI302" s="119" t="s">
        <v>4672</v>
      </c>
      <c r="AJ302" s="77">
        <v>82496108</v>
      </c>
      <c r="AK302" s="119">
        <v>1</v>
      </c>
      <c r="AL302" s="119">
        <f t="shared" si="80"/>
        <v>681</v>
      </c>
      <c r="AM302" s="119">
        <f t="shared" si="81"/>
        <v>56179849548</v>
      </c>
      <c r="AN302" s="119" t="s">
        <v>4675</v>
      </c>
    </row>
    <row r="303" spans="7:44">
      <c r="G303" s="210"/>
      <c r="H303" s="111"/>
      <c r="Q303" s="97" t="s">
        <v>4403</v>
      </c>
      <c r="R303" s="93">
        <v>63115000</v>
      </c>
      <c r="T303" s="19" t="s">
        <v>5282</v>
      </c>
      <c r="U303" s="19">
        <v>32049</v>
      </c>
      <c r="V303" s="115">
        <v>624.04600000000005</v>
      </c>
      <c r="W303" s="115">
        <f t="shared" si="76"/>
        <v>20000050.254000001</v>
      </c>
      <c r="X303" s="276" t="s">
        <v>5144</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4449</v>
      </c>
      <c r="R304" s="93">
        <v>13300000</v>
      </c>
      <c r="T304" s="19" t="s">
        <v>5289</v>
      </c>
      <c r="U304" s="19">
        <v>45094</v>
      </c>
      <c r="V304" s="115">
        <v>614.13559759999998</v>
      </c>
      <c r="W304" s="115">
        <f t="shared" si="76"/>
        <v>27693830.6381744</v>
      </c>
      <c r="X304" s="276" t="s">
        <v>5291</v>
      </c>
      <c r="Y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4457</v>
      </c>
      <c r="R305" s="93">
        <v>2269000</v>
      </c>
      <c r="T305" s="19" t="s">
        <v>5316</v>
      </c>
      <c r="U305" s="19">
        <v>-11804</v>
      </c>
      <c r="V305" s="115">
        <v>762.46640000000002</v>
      </c>
      <c r="W305" s="115">
        <f t="shared" si="76"/>
        <v>-9000153.3856000006</v>
      </c>
      <c r="X305" s="276" t="s">
        <v>5318</v>
      </c>
      <c r="AH305" s="147">
        <v>39</v>
      </c>
      <c r="AI305" s="147" t="s">
        <v>4748</v>
      </c>
      <c r="AJ305" s="186">
        <v>665000</v>
      </c>
      <c r="AK305" s="147">
        <v>4</v>
      </c>
      <c r="AL305" s="193">
        <f t="shared" si="80"/>
        <v>664</v>
      </c>
      <c r="AM305" s="193">
        <f t="shared" si="81"/>
        <v>441560000</v>
      </c>
      <c r="AN305" s="193"/>
    </row>
    <row r="306" spans="7:40">
      <c r="G306" s="210"/>
      <c r="H306" s="111"/>
      <c r="Q306" s="97" t="s">
        <v>4560</v>
      </c>
      <c r="R306" s="93">
        <v>25071612</v>
      </c>
      <c r="T306" s="19" t="s">
        <v>5360</v>
      </c>
      <c r="U306" s="19">
        <v>844</v>
      </c>
      <c r="V306" s="115">
        <v>830</v>
      </c>
      <c r="W306" s="115">
        <f t="shared" si="76"/>
        <v>700520</v>
      </c>
      <c r="X306" s="276" t="s">
        <v>4410</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6"/>
        <v>7211722.3794399993</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ht="30">
      <c r="G308" s="210"/>
      <c r="H308" s="111"/>
      <c r="J308" t="s">
        <v>25</v>
      </c>
      <c r="Q308" s="97" t="s">
        <v>4570</v>
      </c>
      <c r="R308" s="93">
        <v>19663646</v>
      </c>
      <c r="T308" s="19" t="s">
        <v>5365</v>
      </c>
      <c r="U308" s="19">
        <v>10253</v>
      </c>
      <c r="V308" s="115">
        <v>827.2568</v>
      </c>
      <c r="W308" s="115">
        <f t="shared" si="76"/>
        <v>8481863.9704</v>
      </c>
      <c r="X308" s="276" t="s">
        <v>5372</v>
      </c>
      <c r="AH308" s="147">
        <v>42</v>
      </c>
      <c r="AI308" s="147" t="s">
        <v>4762</v>
      </c>
      <c r="AJ308" s="186">
        <v>-433375</v>
      </c>
      <c r="AK308" s="147">
        <v>0</v>
      </c>
      <c r="AL308" s="147">
        <f t="shared" si="80"/>
        <v>659</v>
      </c>
      <c r="AM308" s="147">
        <f t="shared" si="82"/>
        <v>-285594125</v>
      </c>
      <c r="AN308" s="147" t="s">
        <v>4764</v>
      </c>
    </row>
    <row r="309" spans="7:40">
      <c r="G309" s="210"/>
      <c r="H309" s="1"/>
      <c r="Q309" s="97" t="s">
        <v>4593</v>
      </c>
      <c r="R309" s="93">
        <v>4374525</v>
      </c>
      <c r="T309" s="242" t="s">
        <v>5373</v>
      </c>
      <c r="U309" s="242">
        <v>-33077</v>
      </c>
      <c r="V309" s="243">
        <v>786.02973999999995</v>
      </c>
      <c r="W309" s="243">
        <f t="shared" si="76"/>
        <v>-25999505.70998</v>
      </c>
      <c r="X309" s="284" t="s">
        <v>5376</v>
      </c>
      <c r="Y309" t="s">
        <v>25</v>
      </c>
      <c r="AH309" s="20">
        <v>43</v>
      </c>
      <c r="AI309" s="20" t="s">
        <v>4762</v>
      </c>
      <c r="AJ309" s="115">
        <v>28000000</v>
      </c>
      <c r="AK309" s="20">
        <v>1</v>
      </c>
      <c r="AL309" s="97">
        <f t="shared" si="80"/>
        <v>659</v>
      </c>
      <c r="AM309" s="20">
        <f t="shared" si="82"/>
        <v>18452000000</v>
      </c>
      <c r="AN309" s="97" t="s">
        <v>3875</v>
      </c>
    </row>
    <row r="310" spans="7:40">
      <c r="G310" s="210"/>
      <c r="H310" s="1"/>
      <c r="Q310" s="97" t="s">
        <v>4604</v>
      </c>
      <c r="R310" s="93">
        <v>6550580</v>
      </c>
      <c r="T310" s="19" t="s">
        <v>5373</v>
      </c>
      <c r="U310" s="19">
        <v>-33077</v>
      </c>
      <c r="V310" s="115">
        <v>786.02973999999995</v>
      </c>
      <c r="W310" s="115">
        <f t="shared" si="76"/>
        <v>-25999505.70998</v>
      </c>
      <c r="X310" s="276" t="s">
        <v>5377</v>
      </c>
      <c r="Y310" t="s">
        <v>25</v>
      </c>
      <c r="Z310" t="s">
        <v>25</v>
      </c>
      <c r="AH310" s="20">
        <v>44</v>
      </c>
      <c r="AI310" s="20" t="s">
        <v>4771</v>
      </c>
      <c r="AJ310" s="115">
        <v>160000</v>
      </c>
      <c r="AK310" s="20">
        <v>0</v>
      </c>
      <c r="AL310" s="97">
        <f t="shared" si="80"/>
        <v>658</v>
      </c>
      <c r="AM310" s="20">
        <f t="shared" si="82"/>
        <v>105280000</v>
      </c>
      <c r="AN310" s="97"/>
    </row>
    <row r="311" spans="7:40">
      <c r="G311" s="210"/>
      <c r="H311" s="1"/>
      <c r="Q311" s="97" t="s">
        <v>4606</v>
      </c>
      <c r="R311" s="93">
        <v>7054895</v>
      </c>
      <c r="T311" s="19" t="s">
        <v>5373</v>
      </c>
      <c r="U311" s="19">
        <v>1983</v>
      </c>
      <c r="V311" s="115">
        <v>786.02973999999995</v>
      </c>
      <c r="W311" s="115">
        <f t="shared" si="76"/>
        <v>1558696.9744199999</v>
      </c>
      <c r="X311" s="276" t="s">
        <v>5139</v>
      </c>
      <c r="AA311" t="s">
        <v>25</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4623</v>
      </c>
      <c r="R312" s="93">
        <v>2145814</v>
      </c>
      <c r="T312" s="242" t="s">
        <v>5378</v>
      </c>
      <c r="U312" s="242">
        <v>-119753</v>
      </c>
      <c r="V312" s="243">
        <v>800.81560000000002</v>
      </c>
      <c r="W312" s="243">
        <f t="shared" si="76"/>
        <v>-95900070.546800002</v>
      </c>
      <c r="X312" s="284" t="s">
        <v>5376</v>
      </c>
      <c r="AH312" s="20">
        <v>46</v>
      </c>
      <c r="AI312" s="20" t="s">
        <v>4778</v>
      </c>
      <c r="AJ312" s="115">
        <v>850000</v>
      </c>
      <c r="AK312" s="20">
        <v>0</v>
      </c>
      <c r="AL312" s="97">
        <f t="shared" si="80"/>
        <v>649</v>
      </c>
      <c r="AM312" s="20">
        <f t="shared" si="82"/>
        <v>551650000</v>
      </c>
      <c r="AN312" s="97"/>
    </row>
    <row r="313" spans="7:40">
      <c r="G313" s="312"/>
      <c r="H313" s="1"/>
      <c r="Q313" s="97" t="s">
        <v>4634</v>
      </c>
      <c r="R313" s="93">
        <v>4369730</v>
      </c>
      <c r="T313" s="19" t="s">
        <v>5378</v>
      </c>
      <c r="U313" s="19">
        <v>-119753</v>
      </c>
      <c r="V313" s="115">
        <v>800.81560000000002</v>
      </c>
      <c r="W313" s="115">
        <f t="shared" si="76"/>
        <v>-95900070.546800002</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4636</v>
      </c>
      <c r="R314" s="93">
        <v>8739459</v>
      </c>
      <c r="T314" s="19" t="s">
        <v>5378</v>
      </c>
      <c r="U314" s="19">
        <v>11291</v>
      </c>
      <c r="V314" s="115">
        <v>800.81560000000002</v>
      </c>
      <c r="W314" s="115">
        <f t="shared" si="76"/>
        <v>9042008.9396000002</v>
      </c>
      <c r="X314" s="276" t="s">
        <v>452</v>
      </c>
      <c r="AH314" s="193">
        <v>48</v>
      </c>
      <c r="AI314" s="193" t="s">
        <v>4791</v>
      </c>
      <c r="AJ314" s="194">
        <v>30000000</v>
      </c>
      <c r="AK314" s="193">
        <v>27</v>
      </c>
      <c r="AL314" s="193">
        <f t="shared" si="83"/>
        <v>645</v>
      </c>
      <c r="AM314" s="193">
        <f t="shared" si="84"/>
        <v>19350000000</v>
      </c>
      <c r="AN314" s="193" t="s">
        <v>4792</v>
      </c>
    </row>
    <row r="315" spans="7:40">
      <c r="Q315" s="97" t="s">
        <v>4645</v>
      </c>
      <c r="R315" s="93">
        <v>6667654</v>
      </c>
      <c r="T315" s="187" t="s">
        <v>5379</v>
      </c>
      <c r="U315" s="187">
        <v>-35361</v>
      </c>
      <c r="V315" s="186">
        <v>818.697</v>
      </c>
      <c r="W315" s="186">
        <f t="shared" si="76"/>
        <v>-28949944.616999999</v>
      </c>
      <c r="X315" s="275" t="s">
        <v>5376</v>
      </c>
      <c r="AH315" s="20">
        <v>49</v>
      </c>
      <c r="AI315" s="20" t="s">
        <v>4865</v>
      </c>
      <c r="AJ315" s="115">
        <v>1100000</v>
      </c>
      <c r="AK315" s="20">
        <v>1</v>
      </c>
      <c r="AL315" s="20">
        <f t="shared" si="83"/>
        <v>618</v>
      </c>
      <c r="AM315" s="20">
        <f t="shared" si="84"/>
        <v>679800000</v>
      </c>
      <c r="AN315" s="20"/>
    </row>
    <row r="316" spans="7:40">
      <c r="G316" s="94"/>
      <c r="H316" s="9" t="s">
        <v>452</v>
      </c>
      <c r="Q316" s="97" t="s">
        <v>3668</v>
      </c>
      <c r="R316" s="93">
        <v>8981245</v>
      </c>
      <c r="T316" s="19" t="s">
        <v>5379</v>
      </c>
      <c r="U316" s="19">
        <v>-35361</v>
      </c>
      <c r="V316" s="115">
        <v>818.697</v>
      </c>
      <c r="W316" s="115">
        <f t="shared" si="76"/>
        <v>-28949944.616999999</v>
      </c>
      <c r="X316" s="276" t="s">
        <v>5377</v>
      </c>
      <c r="AH316" s="20">
        <v>50</v>
      </c>
      <c r="AI316" s="20" t="s">
        <v>4866</v>
      </c>
      <c r="AJ316" s="115">
        <v>450000</v>
      </c>
      <c r="AK316" s="20">
        <v>0</v>
      </c>
      <c r="AL316" s="20">
        <f t="shared" si="83"/>
        <v>617</v>
      </c>
      <c r="AM316" s="20">
        <f t="shared" si="84"/>
        <v>277650000</v>
      </c>
      <c r="AN316" s="20"/>
    </row>
    <row r="317" spans="7:40">
      <c r="G317" s="94"/>
      <c r="H317" s="9" t="s">
        <v>744</v>
      </c>
      <c r="Q317" s="97" t="s">
        <v>4657</v>
      </c>
      <c r="R317" s="93">
        <v>9181756</v>
      </c>
      <c r="T317" s="19" t="s">
        <v>5379</v>
      </c>
      <c r="U317" s="19">
        <v>116</v>
      </c>
      <c r="V317" s="115">
        <v>818.697</v>
      </c>
      <c r="W317" s="115">
        <f t="shared" si="76"/>
        <v>94968.851999999999</v>
      </c>
      <c r="X317" s="276" t="s">
        <v>5139</v>
      </c>
      <c r="AH317" s="147">
        <v>51</v>
      </c>
      <c r="AI317" s="147" t="s">
        <v>4866</v>
      </c>
      <c r="AJ317" s="186">
        <v>550000</v>
      </c>
      <c r="AK317" s="147">
        <v>1</v>
      </c>
      <c r="AL317" s="147">
        <f t="shared" si="83"/>
        <v>617</v>
      </c>
      <c r="AM317" s="147">
        <f t="shared" si="84"/>
        <v>339350000</v>
      </c>
      <c r="AN317" s="147"/>
    </row>
    <row r="318" spans="7:40">
      <c r="G318" s="94"/>
      <c r="H318" s="9" t="s">
        <v>5457</v>
      </c>
      <c r="Q318" s="97" t="s">
        <v>4660</v>
      </c>
      <c r="R318" s="93">
        <v>11811208</v>
      </c>
      <c r="T318" s="19" t="s">
        <v>5383</v>
      </c>
      <c r="U318" s="19">
        <v>48633</v>
      </c>
      <c r="V318" s="115">
        <v>822.47199999999998</v>
      </c>
      <c r="W318" s="115">
        <f t="shared" si="76"/>
        <v>39999280.776000001</v>
      </c>
      <c r="X318" s="276" t="s">
        <v>5386</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4674</v>
      </c>
      <c r="R319" s="93">
        <v>41248054</v>
      </c>
      <c r="T319" s="19" t="s">
        <v>5383</v>
      </c>
      <c r="U319" s="19">
        <v>3412</v>
      </c>
      <c r="V319" s="115">
        <v>822.47199999999998</v>
      </c>
      <c r="W319" s="115">
        <f t="shared" si="76"/>
        <v>2806274.4640000002</v>
      </c>
      <c r="X319" s="276" t="s">
        <v>5388</v>
      </c>
      <c r="Y319" t="s">
        <v>25</v>
      </c>
      <c r="AH319" s="20">
        <v>53</v>
      </c>
      <c r="AI319" s="20" t="s">
        <v>4877</v>
      </c>
      <c r="AJ319" s="115">
        <v>-2668880</v>
      </c>
      <c r="AK319" s="20">
        <v>0</v>
      </c>
      <c r="AL319" s="20">
        <f t="shared" si="83"/>
        <v>608</v>
      </c>
      <c r="AM319" s="20">
        <f t="shared" si="84"/>
        <v>-1622679040</v>
      </c>
      <c r="AN319" s="20" t="s">
        <v>4879</v>
      </c>
    </row>
    <row r="320" spans="7:40">
      <c r="H320" s="9" t="s">
        <v>5394</v>
      </c>
      <c r="Q320" s="97" t="s">
        <v>4681</v>
      </c>
      <c r="R320" s="93">
        <v>37328780</v>
      </c>
      <c r="T320" s="19" t="s">
        <v>5384</v>
      </c>
      <c r="U320" s="19">
        <v>1531</v>
      </c>
      <c r="V320" s="115">
        <v>869.82500000000005</v>
      </c>
      <c r="W320" s="115">
        <f t="shared" si="76"/>
        <v>1331702.075</v>
      </c>
      <c r="X320" s="276" t="s">
        <v>5389</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4687</v>
      </c>
      <c r="R321" s="93">
        <v>50000000</v>
      </c>
      <c r="S321" s="112"/>
      <c r="T321" s="170" t="s">
        <v>5392</v>
      </c>
      <c r="U321" s="170">
        <v>2394</v>
      </c>
      <c r="V321" s="168">
        <v>835.36580000000004</v>
      </c>
      <c r="W321" s="168">
        <f t="shared" si="76"/>
        <v>1999865.7252</v>
      </c>
      <c r="X321" s="285" t="s">
        <v>5394</v>
      </c>
      <c r="Y321" t="s">
        <v>25</v>
      </c>
      <c r="Z321" t="s">
        <v>25</v>
      </c>
      <c r="AH321" s="20">
        <v>55</v>
      </c>
      <c r="AI321" s="20" t="s">
        <v>4877</v>
      </c>
      <c r="AJ321" s="115">
        <v>50000000</v>
      </c>
      <c r="AK321" s="20">
        <v>4</v>
      </c>
      <c r="AL321" s="20">
        <f t="shared" si="83"/>
        <v>608</v>
      </c>
      <c r="AM321" s="20">
        <f t="shared" si="84"/>
        <v>30400000000</v>
      </c>
      <c r="AN321" s="20"/>
    </row>
    <row r="322" spans="8:44">
      <c r="H322" s="313" t="s">
        <v>5578</v>
      </c>
      <c r="Q322" s="97" t="s">
        <v>4748</v>
      </c>
      <c r="R322" s="93">
        <v>68656</v>
      </c>
      <c r="T322" s="19" t="s">
        <v>5392</v>
      </c>
      <c r="U322" s="19">
        <v>1019</v>
      </c>
      <c r="V322" s="115">
        <v>835.36580000000004</v>
      </c>
      <c r="W322" s="115">
        <f t="shared" si="76"/>
        <v>851237.75020000001</v>
      </c>
      <c r="X322" s="276" t="s">
        <v>452</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4000236</v>
      </c>
      <c r="T323" s="187" t="s">
        <v>5398</v>
      </c>
      <c r="U323" s="187">
        <v>2316</v>
      </c>
      <c r="V323" s="186">
        <v>818.697</v>
      </c>
      <c r="W323" s="186">
        <f t="shared" si="76"/>
        <v>1896102.2520000001</v>
      </c>
      <c r="X323" s="275" t="s">
        <v>5401</v>
      </c>
      <c r="Y323" t="s">
        <v>25</v>
      </c>
      <c r="AH323" s="20">
        <v>57</v>
      </c>
      <c r="AI323" s="20" t="s">
        <v>4893</v>
      </c>
      <c r="AJ323" s="115">
        <v>2000000</v>
      </c>
      <c r="AK323" s="20">
        <v>3</v>
      </c>
      <c r="AL323" s="20">
        <f t="shared" si="85"/>
        <v>600</v>
      </c>
      <c r="AM323" s="20">
        <f t="shared" si="86"/>
        <v>1200000000</v>
      </c>
      <c r="AN323" s="20"/>
    </row>
    <row r="324" spans="8:44">
      <c r="H324" s="9" t="s">
        <v>5579</v>
      </c>
      <c r="Q324" s="97" t="s">
        <v>4757</v>
      </c>
      <c r="R324" s="93">
        <v>2250000</v>
      </c>
      <c r="T324" s="19" t="s">
        <v>5404</v>
      </c>
      <c r="U324" s="19">
        <v>315</v>
      </c>
      <c r="V324" s="115">
        <v>680</v>
      </c>
      <c r="W324" s="115">
        <f t="shared" si="76"/>
        <v>214200</v>
      </c>
      <c r="X324" s="276" t="s">
        <v>5139</v>
      </c>
      <c r="Y324" t="s">
        <v>25</v>
      </c>
      <c r="AA324" t="s">
        <v>25</v>
      </c>
      <c r="AH324" s="20">
        <v>58</v>
      </c>
      <c r="AI324" s="20" t="s">
        <v>4896</v>
      </c>
      <c r="AJ324" s="115">
        <v>100000</v>
      </c>
      <c r="AK324" s="20">
        <v>4</v>
      </c>
      <c r="AL324" s="20">
        <f t="shared" si="85"/>
        <v>597</v>
      </c>
      <c r="AM324" s="20">
        <f t="shared" si="86"/>
        <v>59700000</v>
      </c>
      <c r="AN324" s="20" t="s">
        <v>3875</v>
      </c>
    </row>
    <row r="325" spans="8:44">
      <c r="H325" s="9" t="s">
        <v>5580</v>
      </c>
      <c r="Q325" s="97" t="s">
        <v>4762</v>
      </c>
      <c r="R325" s="93">
        <v>-2512200</v>
      </c>
      <c r="T325" s="19" t="s">
        <v>5426</v>
      </c>
      <c r="U325" s="19">
        <v>832</v>
      </c>
      <c r="V325" s="115">
        <v>784.36500000000001</v>
      </c>
      <c r="W325" s="115">
        <f t="shared" si="76"/>
        <v>652591.68000000005</v>
      </c>
      <c r="X325" s="276" t="s">
        <v>5139</v>
      </c>
      <c r="AH325" s="20">
        <v>59</v>
      </c>
      <c r="AI325" s="20" t="s">
        <v>4903</v>
      </c>
      <c r="AJ325" s="115">
        <v>100000</v>
      </c>
      <c r="AK325" s="20">
        <v>7</v>
      </c>
      <c r="AL325" s="20">
        <f t="shared" si="85"/>
        <v>593</v>
      </c>
      <c r="AM325" s="20">
        <f t="shared" si="86"/>
        <v>59300000</v>
      </c>
      <c r="AN325" s="20"/>
    </row>
    <row r="326" spans="8:44">
      <c r="H326" s="9" t="s">
        <v>5609</v>
      </c>
      <c r="Q326" s="97" t="s">
        <v>4771</v>
      </c>
      <c r="R326" s="93">
        <v>300000</v>
      </c>
      <c r="T326" s="19" t="s">
        <v>5474</v>
      </c>
      <c r="U326" s="19">
        <v>382</v>
      </c>
      <c r="V326" s="115">
        <v>1450.6065000000001</v>
      </c>
      <c r="W326" s="115">
        <f t="shared" si="76"/>
        <v>554131.68300000008</v>
      </c>
      <c r="X326" s="276" t="s">
        <v>5139</v>
      </c>
      <c r="AA326" t="s">
        <v>25</v>
      </c>
      <c r="AH326" s="20">
        <v>60</v>
      </c>
      <c r="AI326" s="20" t="s">
        <v>4916</v>
      </c>
      <c r="AJ326" s="115">
        <v>50000</v>
      </c>
      <c r="AK326" s="20">
        <v>0</v>
      </c>
      <c r="AL326" s="20">
        <f t="shared" si="85"/>
        <v>586</v>
      </c>
      <c r="AM326" s="20">
        <f t="shared" si="86"/>
        <v>29300000</v>
      </c>
      <c r="AN326" s="20"/>
    </row>
    <row r="327" spans="8:44">
      <c r="H327" s="313"/>
      <c r="Q327" s="97" t="s">
        <v>966</v>
      </c>
      <c r="R327" s="93">
        <v>1100000</v>
      </c>
      <c r="T327" s="19" t="s">
        <v>5475</v>
      </c>
      <c r="U327" s="19">
        <v>50047</v>
      </c>
      <c r="V327" s="115">
        <v>1406.14</v>
      </c>
      <c r="W327" s="115">
        <f t="shared" si="76"/>
        <v>70373088.579999998</v>
      </c>
      <c r="X327" s="276" t="s">
        <v>5139</v>
      </c>
      <c r="Y327" t="s">
        <v>25</v>
      </c>
      <c r="AH327" s="147">
        <v>61</v>
      </c>
      <c r="AI327" s="147" t="s">
        <v>4916</v>
      </c>
      <c r="AJ327" s="186">
        <v>50000</v>
      </c>
      <c r="AK327" s="147">
        <v>3</v>
      </c>
      <c r="AL327" s="147">
        <f t="shared" si="85"/>
        <v>586</v>
      </c>
      <c r="AM327" s="147">
        <f t="shared" si="86"/>
        <v>29300000</v>
      </c>
      <c r="AN327" s="147"/>
    </row>
    <row r="328" spans="8:44">
      <c r="Q328" s="97" t="s">
        <v>4778</v>
      </c>
      <c r="R328" s="93">
        <v>890000</v>
      </c>
      <c r="T328" s="19" t="s">
        <v>5476</v>
      </c>
      <c r="U328" s="19">
        <v>846</v>
      </c>
      <c r="V328" s="115">
        <v>1441.6724569999999</v>
      </c>
      <c r="W328" s="115">
        <f t="shared" si="76"/>
        <v>1219654.8986219999</v>
      </c>
      <c r="X328" s="276" t="s">
        <v>5139</v>
      </c>
      <c r="Y328" t="s">
        <v>25</v>
      </c>
      <c r="AH328" s="20">
        <v>62</v>
      </c>
      <c r="AI328" s="20" t="s">
        <v>4919</v>
      </c>
      <c r="AJ328" s="115">
        <v>50000</v>
      </c>
      <c r="AK328" s="20">
        <v>0</v>
      </c>
      <c r="AL328" s="20">
        <f t="shared" si="85"/>
        <v>583</v>
      </c>
      <c r="AM328" s="20">
        <f t="shared" si="86"/>
        <v>29150000</v>
      </c>
      <c r="AN328" s="20"/>
    </row>
    <row r="329" spans="8:44">
      <c r="Q329" s="97" t="s">
        <v>4798</v>
      </c>
      <c r="R329" s="93">
        <v>1000000</v>
      </c>
      <c r="T329" s="19" t="s">
        <v>5477</v>
      </c>
      <c r="U329" s="19">
        <v>10573</v>
      </c>
      <c r="V329" s="115">
        <v>1451.825</v>
      </c>
      <c r="W329" s="115">
        <f t="shared" si="76"/>
        <v>15350145.725</v>
      </c>
      <c r="X329" s="276" t="s">
        <v>5139</v>
      </c>
      <c r="Y329" t="s">
        <v>25</v>
      </c>
      <c r="AH329" s="193">
        <v>63</v>
      </c>
      <c r="AI329" s="193" t="s">
        <v>4919</v>
      </c>
      <c r="AJ329" s="194">
        <v>50000</v>
      </c>
      <c r="AK329" s="193">
        <v>2</v>
      </c>
      <c r="AL329" s="193">
        <f t="shared" si="85"/>
        <v>583</v>
      </c>
      <c r="AM329" s="193">
        <f t="shared" si="86"/>
        <v>29150000</v>
      </c>
      <c r="AN329" s="193"/>
    </row>
    <row r="330" spans="8:44" ht="30">
      <c r="Q330" s="97" t="s">
        <v>4799</v>
      </c>
      <c r="R330" s="93">
        <v>45436311</v>
      </c>
      <c r="T330" s="19" t="s">
        <v>5478</v>
      </c>
      <c r="U330" s="19">
        <v>85</v>
      </c>
      <c r="V330" s="115">
        <v>1423.74</v>
      </c>
      <c r="W330" s="115">
        <f t="shared" si="76"/>
        <v>121017.9</v>
      </c>
      <c r="X330" s="276" t="s">
        <v>5479</v>
      </c>
      <c r="AA330" t="s">
        <v>25</v>
      </c>
      <c r="AH330" s="20">
        <v>64</v>
      </c>
      <c r="AI330" s="20" t="s">
        <v>4926</v>
      </c>
      <c r="AJ330" s="115">
        <v>25000</v>
      </c>
      <c r="AK330" s="20">
        <v>0</v>
      </c>
      <c r="AL330" s="20">
        <f t="shared" si="85"/>
        <v>581</v>
      </c>
      <c r="AM330" s="20">
        <f t="shared" si="86"/>
        <v>14525000</v>
      </c>
      <c r="AN330" s="20"/>
    </row>
    <row r="331" spans="8:44" ht="30">
      <c r="Q331" s="97" t="s">
        <v>4799</v>
      </c>
      <c r="R331" s="93">
        <v>-3500000</v>
      </c>
      <c r="T331" s="19" t="s">
        <v>5482</v>
      </c>
      <c r="U331" s="19">
        <v>738</v>
      </c>
      <c r="V331" s="115">
        <v>1388.87895</v>
      </c>
      <c r="W331" s="115">
        <f t="shared" si="76"/>
        <v>1024992.6651</v>
      </c>
      <c r="X331" s="276" t="s">
        <v>5490</v>
      </c>
      <c r="AA331" t="s">
        <v>25</v>
      </c>
      <c r="AH331" s="147">
        <v>65</v>
      </c>
      <c r="AI331" s="147" t="s">
        <v>4926</v>
      </c>
      <c r="AJ331" s="186">
        <v>35000</v>
      </c>
      <c r="AK331" s="147">
        <v>7</v>
      </c>
      <c r="AL331" s="147">
        <f t="shared" si="85"/>
        <v>581</v>
      </c>
      <c r="AM331" s="147">
        <f t="shared" si="86"/>
        <v>20335000</v>
      </c>
      <c r="AN331" s="147"/>
    </row>
    <row r="332" spans="8:44">
      <c r="Q332" s="97" t="s">
        <v>4811</v>
      </c>
      <c r="R332" s="93">
        <v>2520000</v>
      </c>
      <c r="T332" s="19" t="s">
        <v>5498</v>
      </c>
      <c r="U332" s="19">
        <v>1442</v>
      </c>
      <c r="V332" s="115">
        <v>1350.9547279999999</v>
      </c>
      <c r="W332" s="115">
        <f t="shared" si="76"/>
        <v>1948076.7177759998</v>
      </c>
      <c r="X332" s="276" t="s">
        <v>5139</v>
      </c>
      <c r="Z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4846</v>
      </c>
      <c r="R333" s="93">
        <v>4900000</v>
      </c>
      <c r="T333" s="19" t="s">
        <v>5499</v>
      </c>
      <c r="U333" s="19">
        <v>36847</v>
      </c>
      <c r="V333" s="115">
        <v>1356.9658300000001</v>
      </c>
      <c r="W333" s="115">
        <f t="shared" si="76"/>
        <v>50000119.938010007</v>
      </c>
      <c r="X333" s="276" t="s">
        <v>5144</v>
      </c>
      <c r="AH333" s="20">
        <v>67</v>
      </c>
      <c r="AI333" s="20" t="s">
        <v>4934</v>
      </c>
      <c r="AJ333" s="115">
        <v>6800000</v>
      </c>
      <c r="AK333" s="20">
        <v>1</v>
      </c>
      <c r="AL333" s="20">
        <f t="shared" si="87"/>
        <v>574</v>
      </c>
      <c r="AM333" s="20">
        <f t="shared" si="88"/>
        <v>3903200000</v>
      </c>
      <c r="AN333" s="20"/>
    </row>
    <row r="334" spans="8:44" ht="30">
      <c r="Q334" s="97" t="s">
        <v>4865</v>
      </c>
      <c r="R334" s="93">
        <v>1150000</v>
      </c>
      <c r="T334" s="19" t="s">
        <v>5500</v>
      </c>
      <c r="U334" s="19">
        <v>13738</v>
      </c>
      <c r="V334" s="115">
        <v>1455.82</v>
      </c>
      <c r="W334" s="115">
        <f t="shared" si="76"/>
        <v>20000055.16</v>
      </c>
      <c r="X334" s="276" t="s">
        <v>5519</v>
      </c>
      <c r="Y334" t="s">
        <v>25</v>
      </c>
      <c r="AH334" s="20">
        <v>68</v>
      </c>
      <c r="AI334" s="20" t="s">
        <v>4937</v>
      </c>
      <c r="AJ334" s="115">
        <v>500000</v>
      </c>
      <c r="AK334" s="20">
        <v>1</v>
      </c>
      <c r="AL334" s="20">
        <f t="shared" si="87"/>
        <v>573</v>
      </c>
      <c r="AM334" s="20">
        <f t="shared" si="88"/>
        <v>286500000</v>
      </c>
      <c r="AN334" s="20"/>
    </row>
    <row r="335" spans="8:44">
      <c r="Q335" s="97" t="s">
        <v>4818</v>
      </c>
      <c r="R335" s="93">
        <v>250000</v>
      </c>
      <c r="T335" s="19" t="s">
        <v>5528</v>
      </c>
      <c r="U335" s="19">
        <v>3100</v>
      </c>
      <c r="V335" s="115">
        <v>1853.4507470000001</v>
      </c>
      <c r="W335" s="115">
        <f t="shared" si="76"/>
        <v>5745697.3157000002</v>
      </c>
      <c r="X335" s="276" t="s">
        <v>5139</v>
      </c>
      <c r="AH335" s="20">
        <v>69</v>
      </c>
      <c r="AI335" s="20" t="s">
        <v>4943</v>
      </c>
      <c r="AJ335" s="115">
        <v>850000</v>
      </c>
      <c r="AK335" s="20">
        <v>5</v>
      </c>
      <c r="AL335" s="20">
        <f t="shared" si="87"/>
        <v>572</v>
      </c>
      <c r="AM335" s="20">
        <f t="shared" si="88"/>
        <v>486200000</v>
      </c>
      <c r="AN335" s="20"/>
    </row>
    <row r="336" spans="8:44">
      <c r="Q336" s="97" t="s">
        <v>4900</v>
      </c>
      <c r="R336" s="93">
        <v>1403460</v>
      </c>
      <c r="T336" s="19" t="s">
        <v>5529</v>
      </c>
      <c r="U336" s="19">
        <v>480</v>
      </c>
      <c r="V336" s="115">
        <v>1891.9962069999999</v>
      </c>
      <c r="W336" s="115">
        <f t="shared" si="76"/>
        <v>908158.17935999995</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4903</v>
      </c>
      <c r="R337" s="93">
        <v>200000</v>
      </c>
      <c r="T337" s="19" t="s">
        <v>5530</v>
      </c>
      <c r="U337" s="19">
        <v>6522</v>
      </c>
      <c r="V337" s="115">
        <v>1938.4694340000001</v>
      </c>
      <c r="W337" s="115">
        <f t="shared" si="76"/>
        <v>12642697.648548001</v>
      </c>
      <c r="X337" s="276" t="s">
        <v>5139</v>
      </c>
      <c r="AH337" s="252">
        <v>71</v>
      </c>
      <c r="AI337" s="252" t="s">
        <v>4952</v>
      </c>
      <c r="AJ337" s="243">
        <v>30000</v>
      </c>
      <c r="AK337" s="252">
        <v>5</v>
      </c>
      <c r="AL337" s="252">
        <f t="shared" si="87"/>
        <v>567</v>
      </c>
      <c r="AM337" s="252">
        <f t="shared" si="88"/>
        <v>17010000</v>
      </c>
      <c r="AN337" s="252"/>
      <c r="AS337" t="s">
        <v>25</v>
      </c>
    </row>
    <row r="338" spans="17:46">
      <c r="Q338" s="97" t="s">
        <v>4908</v>
      </c>
      <c r="R338" s="93">
        <v>345000</v>
      </c>
      <c r="T338" s="19" t="s">
        <v>5531</v>
      </c>
      <c r="U338" s="19">
        <v>6197</v>
      </c>
      <c r="V338" s="115">
        <v>1984.3985499999999</v>
      </c>
      <c r="W338" s="115">
        <f t="shared" si="76"/>
        <v>12297317.81435</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4913</v>
      </c>
      <c r="R339" s="93">
        <v>900000</v>
      </c>
      <c r="T339" s="19" t="s">
        <v>5532</v>
      </c>
      <c r="U339" s="19">
        <v>4646</v>
      </c>
      <c r="V339" s="115">
        <v>1928.464023</v>
      </c>
      <c r="W339" s="115">
        <f t="shared" si="76"/>
        <v>8959643.8508579992</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4916</v>
      </c>
      <c r="R340" s="93">
        <v>372517</v>
      </c>
      <c r="T340" s="19" t="s">
        <v>5533</v>
      </c>
      <c r="U340" s="19">
        <v>7668</v>
      </c>
      <c r="V340" s="115">
        <v>1976.2774959999999</v>
      </c>
      <c r="W340" s="115">
        <f t="shared" si="76"/>
        <v>15154095.839328</v>
      </c>
      <c r="X340" s="276" t="s">
        <v>5139</v>
      </c>
      <c r="Y340" t="s">
        <v>25</v>
      </c>
      <c r="AH340" s="20">
        <v>74</v>
      </c>
      <c r="AI340" s="20" t="s">
        <v>4967</v>
      </c>
      <c r="AJ340" s="115">
        <v>50000</v>
      </c>
      <c r="AK340" s="20">
        <v>0</v>
      </c>
      <c r="AL340" s="20">
        <f t="shared" si="87"/>
        <v>560</v>
      </c>
      <c r="AM340" s="20">
        <f t="shared" si="88"/>
        <v>28000000</v>
      </c>
      <c r="AN340" s="20"/>
    </row>
    <row r="341" spans="17:46" ht="30">
      <c r="Q341" s="97" t="s">
        <v>4924</v>
      </c>
      <c r="R341" s="93">
        <v>6489257</v>
      </c>
      <c r="T341" s="19" t="s">
        <v>5544</v>
      </c>
      <c r="U341" s="19">
        <v>-43325</v>
      </c>
      <c r="V341" s="115">
        <v>2146.5548840000001</v>
      </c>
      <c r="W341" s="115">
        <f t="shared" si="76"/>
        <v>-92999490.349300012</v>
      </c>
      <c r="X341" s="276" t="s">
        <v>5545</v>
      </c>
      <c r="AH341" s="252">
        <v>75</v>
      </c>
      <c r="AI341" s="252" t="s">
        <v>4967</v>
      </c>
      <c r="AJ341" s="243">
        <v>50000</v>
      </c>
      <c r="AK341" s="252">
        <v>2</v>
      </c>
      <c r="AL341" s="252">
        <f t="shared" si="87"/>
        <v>560</v>
      </c>
      <c r="AM341" s="252">
        <f t="shared" si="88"/>
        <v>28000000</v>
      </c>
      <c r="AN341" s="252"/>
    </row>
    <row r="342" spans="17:46">
      <c r="Q342" s="97" t="s">
        <v>4960</v>
      </c>
      <c r="R342" s="93">
        <v>618000</v>
      </c>
      <c r="T342" s="187" t="s">
        <v>5544</v>
      </c>
      <c r="U342" s="187">
        <v>-589</v>
      </c>
      <c r="V342" s="186">
        <v>2146.5548840000001</v>
      </c>
      <c r="W342" s="186">
        <f t="shared" si="76"/>
        <v>-1264320.8266760001</v>
      </c>
      <c r="X342" s="275" t="s">
        <v>5550</v>
      </c>
      <c r="AH342" s="20">
        <v>76</v>
      </c>
      <c r="AI342" s="20" t="s">
        <v>4971</v>
      </c>
      <c r="AJ342" s="115">
        <v>20000000</v>
      </c>
      <c r="AK342" s="20">
        <v>7</v>
      </c>
      <c r="AL342" s="20">
        <f t="shared" si="87"/>
        <v>558</v>
      </c>
      <c r="AM342" s="20">
        <f t="shared" si="88"/>
        <v>11160000000</v>
      </c>
      <c r="AN342" s="20" t="s">
        <v>4972</v>
      </c>
    </row>
    <row r="343" spans="17:46">
      <c r="Q343" s="97" t="s">
        <v>4971</v>
      </c>
      <c r="R343" s="93">
        <v>20105000</v>
      </c>
      <c r="T343" s="19" t="s">
        <v>5554</v>
      </c>
      <c r="U343" s="19">
        <v>20888</v>
      </c>
      <c r="V343" s="115">
        <v>2428.4521530000002</v>
      </c>
      <c r="W343" s="115">
        <f t="shared" si="76"/>
        <v>50725508.571864001</v>
      </c>
      <c r="X343" s="276" t="s">
        <v>5139</v>
      </c>
      <c r="Y343" t="s">
        <v>25</v>
      </c>
      <c r="AH343" s="20">
        <v>77</v>
      </c>
      <c r="AI343" s="20" t="s">
        <v>4982</v>
      </c>
      <c r="AJ343" s="115">
        <v>50000</v>
      </c>
      <c r="AK343" s="20">
        <v>0</v>
      </c>
      <c r="AL343" s="20">
        <f t="shared" si="87"/>
        <v>551</v>
      </c>
      <c r="AM343" s="20">
        <f t="shared" si="88"/>
        <v>27550000</v>
      </c>
      <c r="AN343" s="20"/>
    </row>
    <row r="344" spans="17:46">
      <c r="Q344" s="97" t="s">
        <v>4975</v>
      </c>
      <c r="R344" s="93">
        <v>-21079990</v>
      </c>
      <c r="T344" s="19" t="s">
        <v>5556</v>
      </c>
      <c r="U344" s="19">
        <v>21663</v>
      </c>
      <c r="V344" s="115">
        <v>2308.0067819999999</v>
      </c>
      <c r="W344" s="115">
        <f t="shared" si="76"/>
        <v>49998350.918466002</v>
      </c>
      <c r="X344" s="276" t="s">
        <v>5559</v>
      </c>
      <c r="AH344" s="147">
        <v>78</v>
      </c>
      <c r="AI344" s="147" t="s">
        <v>4982</v>
      </c>
      <c r="AJ344" s="186">
        <v>50000</v>
      </c>
      <c r="AK344" s="147">
        <v>7</v>
      </c>
      <c r="AL344" s="147">
        <f t="shared" si="87"/>
        <v>551</v>
      </c>
      <c r="AM344" s="147">
        <f t="shared" si="88"/>
        <v>27550000</v>
      </c>
      <c r="AN344" s="147"/>
    </row>
    <row r="345" spans="17:46">
      <c r="Q345" s="97" t="s">
        <v>4976</v>
      </c>
      <c r="R345" s="93">
        <v>-5949277</v>
      </c>
      <c r="T345" s="19" t="s">
        <v>5556</v>
      </c>
      <c r="U345" s="19">
        <v>977</v>
      </c>
      <c r="V345" s="115">
        <v>2335.6821479999999</v>
      </c>
      <c r="W345" s="115">
        <f t="shared" si="76"/>
        <v>2281961.458596</v>
      </c>
      <c r="X345" s="276" t="s">
        <v>5139</v>
      </c>
      <c r="AH345" s="20">
        <v>79</v>
      </c>
      <c r="AI345" s="20" t="s">
        <v>4988</v>
      </c>
      <c r="AJ345" s="115">
        <v>2480000</v>
      </c>
      <c r="AK345" s="20">
        <v>0</v>
      </c>
      <c r="AL345" s="20">
        <f t="shared" si="87"/>
        <v>544</v>
      </c>
      <c r="AM345" s="20">
        <f t="shared" si="88"/>
        <v>1349120000</v>
      </c>
      <c r="AN345" s="20"/>
    </row>
    <row r="346" spans="17:46">
      <c r="Q346" s="97" t="s">
        <v>4982</v>
      </c>
      <c r="R346" s="93">
        <v>-15370656</v>
      </c>
      <c r="T346" s="19" t="s">
        <v>5563</v>
      </c>
      <c r="U346" s="19">
        <v>4155</v>
      </c>
      <c r="V346" s="115">
        <v>2647</v>
      </c>
      <c r="W346" s="115">
        <f t="shared" si="76"/>
        <v>10998285</v>
      </c>
      <c r="X346" s="276" t="s">
        <v>5139</v>
      </c>
      <c r="AH346" s="147">
        <v>80</v>
      </c>
      <c r="AI346" s="147" t="s">
        <v>4988</v>
      </c>
      <c r="AJ346" s="186">
        <v>2480000</v>
      </c>
      <c r="AK346" s="147">
        <v>12</v>
      </c>
      <c r="AL346" s="147">
        <f t="shared" si="87"/>
        <v>544</v>
      </c>
      <c r="AM346" s="147">
        <f t="shared" si="88"/>
        <v>1349120000</v>
      </c>
      <c r="AN346" s="147"/>
    </row>
    <row r="347" spans="17:46">
      <c r="Q347" s="97" t="s">
        <v>4988</v>
      </c>
      <c r="R347" s="93">
        <v>4960000</v>
      </c>
      <c r="T347" s="19" t="s">
        <v>5564</v>
      </c>
      <c r="U347" s="19">
        <v>351</v>
      </c>
      <c r="V347" s="115">
        <v>2800.6238229999999</v>
      </c>
      <c r="W347" s="115">
        <f t="shared" si="76"/>
        <v>983018.96187300002</v>
      </c>
      <c r="X347" s="276" t="s">
        <v>5139</v>
      </c>
      <c r="AH347" s="20">
        <v>81</v>
      </c>
      <c r="AI347" s="20" t="s">
        <v>4995</v>
      </c>
      <c r="AJ347" s="115">
        <v>-24159500</v>
      </c>
      <c r="AK347" s="20">
        <v>4</v>
      </c>
      <c r="AL347" s="20">
        <f t="shared" si="87"/>
        <v>532</v>
      </c>
      <c r="AM347" s="20">
        <f t="shared" si="88"/>
        <v>-12852854000</v>
      </c>
      <c r="AN347" s="20" t="s">
        <v>5003</v>
      </c>
    </row>
    <row r="348" spans="17:46">
      <c r="Q348" s="97" t="s">
        <v>4988</v>
      </c>
      <c r="R348" s="93">
        <v>10000000</v>
      </c>
      <c r="S348" s="112"/>
      <c r="T348" s="19" t="s">
        <v>5566</v>
      </c>
      <c r="U348" s="19">
        <v>5877</v>
      </c>
      <c r="V348" s="115">
        <v>2901.0160000000001</v>
      </c>
      <c r="W348" s="115">
        <f t="shared" si="76"/>
        <v>17049271.032000002</v>
      </c>
      <c r="X348" s="276" t="s">
        <v>5139</v>
      </c>
      <c r="AH348" s="20">
        <v>82</v>
      </c>
      <c r="AI348" s="20" t="s">
        <v>5005</v>
      </c>
      <c r="AJ348" s="115">
        <v>400000</v>
      </c>
      <c r="AK348" s="20">
        <v>3</v>
      </c>
      <c r="AL348" s="20">
        <f t="shared" si="87"/>
        <v>528</v>
      </c>
      <c r="AM348" s="20">
        <f t="shared" si="88"/>
        <v>211200000</v>
      </c>
      <c r="AN348" s="20"/>
    </row>
    <row r="349" spans="17:46">
      <c r="Q349" s="97" t="s">
        <v>4995</v>
      </c>
      <c r="R349" s="93">
        <v>-40570100</v>
      </c>
      <c r="T349" s="19" t="s">
        <v>5569</v>
      </c>
      <c r="U349" s="19">
        <v>2374</v>
      </c>
      <c r="V349" s="115">
        <v>2877</v>
      </c>
      <c r="W349" s="115">
        <f t="shared" ref="W349:W392" si="89">U349*V349</f>
        <v>6829998</v>
      </c>
      <c r="X349" s="276" t="s">
        <v>5139</v>
      </c>
      <c r="Y349" t="s">
        <v>25</v>
      </c>
      <c r="Z349" t="s">
        <v>25</v>
      </c>
      <c r="AH349" s="147">
        <v>83</v>
      </c>
      <c r="AI349" s="147" t="s">
        <v>5012</v>
      </c>
      <c r="AJ349" s="186">
        <v>40000</v>
      </c>
      <c r="AK349" s="147">
        <v>0</v>
      </c>
      <c r="AL349" s="147">
        <f t="shared" si="87"/>
        <v>525</v>
      </c>
      <c r="AM349" s="147">
        <f t="shared" si="88"/>
        <v>21000000</v>
      </c>
      <c r="AN349" s="147"/>
    </row>
    <row r="350" spans="17:46">
      <c r="Q350" s="97" t="s">
        <v>5004</v>
      </c>
      <c r="R350" s="93">
        <v>1000000</v>
      </c>
      <c r="T350" s="19" t="s">
        <v>4213</v>
      </c>
      <c r="U350" s="19">
        <v>2532</v>
      </c>
      <c r="V350" s="115">
        <v>2757.7444</v>
      </c>
      <c r="W350" s="115">
        <f t="shared" si="89"/>
        <v>6982608.8207999999</v>
      </c>
      <c r="X350" s="276" t="s">
        <v>5139</v>
      </c>
      <c r="AH350" s="20">
        <v>84</v>
      </c>
      <c r="AI350" s="20" t="s">
        <v>5012</v>
      </c>
      <c r="AJ350" s="115">
        <v>40000</v>
      </c>
      <c r="AK350" s="20">
        <v>5</v>
      </c>
      <c r="AL350" s="20">
        <f t="shared" si="87"/>
        <v>525</v>
      </c>
      <c r="AM350" s="20">
        <f t="shared" si="88"/>
        <v>21000000</v>
      </c>
      <c r="AN350" s="20"/>
    </row>
    <row r="351" spans="17:46">
      <c r="Q351" s="97" t="s">
        <v>5005</v>
      </c>
      <c r="R351" s="93">
        <v>400000</v>
      </c>
      <c r="T351" s="19" t="s">
        <v>4213</v>
      </c>
      <c r="U351" s="19">
        <v>4987</v>
      </c>
      <c r="V351" s="115">
        <v>2757.7444</v>
      </c>
      <c r="W351" s="115">
        <f t="shared" si="89"/>
        <v>13752871.322800001</v>
      </c>
      <c r="X351" s="276" t="s">
        <v>5585</v>
      </c>
      <c r="Y351" t="s">
        <v>25</v>
      </c>
      <c r="AH351" s="20">
        <v>85</v>
      </c>
      <c r="AI351" s="20" t="s">
        <v>5021</v>
      </c>
      <c r="AJ351" s="115">
        <v>200000</v>
      </c>
      <c r="AK351" s="20">
        <v>1</v>
      </c>
      <c r="AL351" s="20">
        <f t="shared" si="87"/>
        <v>520</v>
      </c>
      <c r="AM351" s="20">
        <f t="shared" si="88"/>
        <v>104000000</v>
      </c>
      <c r="AN351" s="20"/>
    </row>
    <row r="352" spans="17:46">
      <c r="Q352" s="97" t="s">
        <v>5012</v>
      </c>
      <c r="R352" s="93">
        <v>120000</v>
      </c>
      <c r="T352" s="19" t="s">
        <v>4213</v>
      </c>
      <c r="U352" s="19">
        <v>997</v>
      </c>
      <c r="V352" s="115">
        <v>2757.7444</v>
      </c>
      <c r="W352" s="115">
        <f t="shared" si="89"/>
        <v>2749471.1668000002</v>
      </c>
      <c r="X352" s="276" t="s">
        <v>5586</v>
      </c>
      <c r="Y352" t="s">
        <v>25</v>
      </c>
      <c r="Z352" t="s">
        <v>25</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5027</v>
      </c>
      <c r="R353" s="93">
        <v>500000</v>
      </c>
      <c r="T353" s="187" t="s">
        <v>5589</v>
      </c>
      <c r="U353" s="187">
        <v>-18</v>
      </c>
      <c r="V353" s="186">
        <v>2675</v>
      </c>
      <c r="W353" s="186">
        <f t="shared" si="89"/>
        <v>-48150</v>
      </c>
      <c r="X353" s="275" t="s">
        <v>5590</v>
      </c>
      <c r="AH353" s="20">
        <v>87</v>
      </c>
      <c r="AI353" s="20" t="s">
        <v>5027</v>
      </c>
      <c r="AJ353" s="115">
        <v>500000</v>
      </c>
      <c r="AK353" s="20">
        <v>3</v>
      </c>
      <c r="AL353" s="20">
        <f t="shared" si="90"/>
        <v>517</v>
      </c>
      <c r="AM353" s="20">
        <f t="shared" si="91"/>
        <v>258500000</v>
      </c>
      <c r="AN353" s="20"/>
    </row>
    <row r="354" spans="17:45">
      <c r="Q354" s="97" t="s">
        <v>5017</v>
      </c>
      <c r="R354" s="93">
        <v>744000</v>
      </c>
      <c r="T354" s="19" t="s">
        <v>5591</v>
      </c>
      <c r="U354" s="19">
        <v>2874</v>
      </c>
      <c r="V354" s="115">
        <v>2613.1284000000001</v>
      </c>
      <c r="W354" s="115">
        <f t="shared" si="89"/>
        <v>7510131.0216000006</v>
      </c>
      <c r="X354" s="276" t="s">
        <v>5139</v>
      </c>
      <c r="AH354" s="20">
        <v>88</v>
      </c>
      <c r="AI354" s="20" t="s">
        <v>5017</v>
      </c>
      <c r="AJ354" s="115">
        <v>250000</v>
      </c>
      <c r="AK354" s="20">
        <v>0</v>
      </c>
      <c r="AL354" s="20">
        <f t="shared" si="90"/>
        <v>514</v>
      </c>
      <c r="AM354" s="20">
        <f t="shared" si="91"/>
        <v>128500000</v>
      </c>
      <c r="AN354" s="20"/>
    </row>
    <row r="355" spans="17:45">
      <c r="Q355" s="97" t="s">
        <v>5043</v>
      </c>
      <c r="R355" s="93">
        <v>65000</v>
      </c>
      <c r="T355" s="19" t="s">
        <v>5597</v>
      </c>
      <c r="U355" s="19">
        <v>2847</v>
      </c>
      <c r="V355" s="115">
        <v>2556.3841000000002</v>
      </c>
      <c r="W355" s="115">
        <f t="shared" si="89"/>
        <v>7278025.5327000003</v>
      </c>
      <c r="X355" s="276" t="s">
        <v>5139</v>
      </c>
      <c r="AH355" s="252">
        <v>89</v>
      </c>
      <c r="AI355" s="252" t="s">
        <v>5017</v>
      </c>
      <c r="AJ355" s="243">
        <v>245000</v>
      </c>
      <c r="AK355" s="252">
        <v>16</v>
      </c>
      <c r="AL355" s="252">
        <f t="shared" si="90"/>
        <v>514</v>
      </c>
      <c r="AM355" s="252">
        <f t="shared" si="91"/>
        <v>125930000</v>
      </c>
      <c r="AN355" s="252"/>
    </row>
    <row r="356" spans="17:45">
      <c r="Q356" s="97" t="s">
        <v>5049</v>
      </c>
      <c r="R356" s="93">
        <v>-14053702</v>
      </c>
      <c r="T356" s="19" t="s">
        <v>5597</v>
      </c>
      <c r="U356" s="19">
        <v>1222</v>
      </c>
      <c r="V356" s="115">
        <v>2556.3841000000002</v>
      </c>
      <c r="W356" s="115">
        <f t="shared" si="89"/>
        <v>3123901.3702000002</v>
      </c>
      <c r="X356" s="276" t="s">
        <v>5598</v>
      </c>
      <c r="AH356" s="20">
        <v>90</v>
      </c>
      <c r="AI356" s="20" t="s">
        <v>5053</v>
      </c>
      <c r="AJ356" s="115">
        <v>312598</v>
      </c>
      <c r="AK356" s="20">
        <v>0</v>
      </c>
      <c r="AL356" s="20">
        <f t="shared" si="90"/>
        <v>498</v>
      </c>
      <c r="AM356" s="20">
        <f t="shared" si="91"/>
        <v>155673804</v>
      </c>
      <c r="AN356" s="20"/>
    </row>
    <row r="357" spans="17:45">
      <c r="Q357" s="97" t="s">
        <v>5018</v>
      </c>
      <c r="R357" s="93">
        <v>3555678</v>
      </c>
      <c r="S357" t="s">
        <v>25</v>
      </c>
      <c r="T357" s="19" t="s">
        <v>5606</v>
      </c>
      <c r="U357" s="19">
        <v>73</v>
      </c>
      <c r="V357" s="115">
        <v>2672.0459999999998</v>
      </c>
      <c r="W357" s="115">
        <f t="shared" si="89"/>
        <v>195059.35799999998</v>
      </c>
      <c r="X357" s="276" t="s">
        <v>5139</v>
      </c>
      <c r="AH357" s="20">
        <v>91</v>
      </c>
      <c r="AI357" s="20" t="s">
        <v>5053</v>
      </c>
      <c r="AJ357" s="115">
        <v>780000</v>
      </c>
      <c r="AK357" s="20">
        <v>0</v>
      </c>
      <c r="AL357" s="20">
        <f t="shared" si="90"/>
        <v>498</v>
      </c>
      <c r="AM357" s="20">
        <f t="shared" si="91"/>
        <v>388440000</v>
      </c>
      <c r="AN357" s="20"/>
    </row>
    <row r="358" spans="17:45" ht="18" customHeight="1">
      <c r="Q358" s="97" t="s">
        <v>5085</v>
      </c>
      <c r="R358" s="93">
        <v>3495</v>
      </c>
      <c r="T358" s="187" t="s">
        <v>5611</v>
      </c>
      <c r="U358" s="187">
        <v>-19</v>
      </c>
      <c r="V358" s="186">
        <v>2598.1260000000002</v>
      </c>
      <c r="W358" s="186">
        <f t="shared" si="89"/>
        <v>-49364.394</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5090</v>
      </c>
      <c r="R359" s="93">
        <v>6000000</v>
      </c>
      <c r="T359" s="19" t="s">
        <v>5611</v>
      </c>
      <c r="U359" s="19">
        <v>332</v>
      </c>
      <c r="V359" s="115">
        <v>2598.1260000000002</v>
      </c>
      <c r="W359" s="115">
        <f t="shared" si="89"/>
        <v>862577.83200000005</v>
      </c>
      <c r="X359" s="276" t="s">
        <v>5612</v>
      </c>
      <c r="AH359" s="20">
        <v>93</v>
      </c>
      <c r="AI359" s="20" t="s">
        <v>5018</v>
      </c>
      <c r="AJ359" s="115">
        <v>300000</v>
      </c>
      <c r="AK359" s="20">
        <v>0</v>
      </c>
      <c r="AL359" s="20">
        <f t="shared" si="90"/>
        <v>497</v>
      </c>
      <c r="AM359" s="20">
        <f t="shared" si="91"/>
        <v>149100000</v>
      </c>
      <c r="AN359" s="20"/>
    </row>
    <row r="360" spans="17:45">
      <c r="Q360" s="97" t="s">
        <v>5092</v>
      </c>
      <c r="R360" s="93">
        <v>17220</v>
      </c>
      <c r="T360" s="19" t="s">
        <v>5613</v>
      </c>
      <c r="U360" s="19">
        <v>346</v>
      </c>
      <c r="V360" s="115">
        <v>2659.8510000000001</v>
      </c>
      <c r="W360" s="115">
        <f t="shared" si="89"/>
        <v>920308.446</v>
      </c>
      <c r="X360" s="276" t="s">
        <v>5139</v>
      </c>
      <c r="AH360" s="20">
        <v>94</v>
      </c>
      <c r="AI360" s="20" t="s">
        <v>5018</v>
      </c>
      <c r="AJ360" s="115">
        <v>8660000</v>
      </c>
      <c r="AK360" s="20">
        <v>8</v>
      </c>
      <c r="AL360" s="20">
        <f t="shared" si="90"/>
        <v>497</v>
      </c>
      <c r="AM360" s="20">
        <f t="shared" si="91"/>
        <v>4304020000</v>
      </c>
      <c r="AN360" s="20"/>
    </row>
    <row r="361" spans="17:45">
      <c r="Q361" s="97" t="s">
        <v>5093</v>
      </c>
      <c r="R361" s="93">
        <v>8249</v>
      </c>
      <c r="T361" s="19" t="s">
        <v>5614</v>
      </c>
      <c r="U361" s="19">
        <v>1722</v>
      </c>
      <c r="V361" s="115">
        <v>2692.1079220000001</v>
      </c>
      <c r="W361" s="115">
        <f t="shared" si="89"/>
        <v>4635809.8416840006</v>
      </c>
      <c r="X361" s="276" t="s">
        <v>5139</v>
      </c>
      <c r="AH361" s="147">
        <v>95</v>
      </c>
      <c r="AI361" s="147" t="s">
        <v>5070</v>
      </c>
      <c r="AJ361" s="186">
        <v>200000</v>
      </c>
      <c r="AK361" s="147">
        <v>3</v>
      </c>
      <c r="AL361" s="147">
        <f t="shared" si="90"/>
        <v>489</v>
      </c>
      <c r="AM361" s="147">
        <f t="shared" si="91"/>
        <v>97800000</v>
      </c>
      <c r="AN361" s="147"/>
    </row>
    <row r="362" spans="17:45" ht="18.75" customHeight="1">
      <c r="Q362" s="97" t="s">
        <v>5095</v>
      </c>
      <c r="R362" s="93">
        <v>6937</v>
      </c>
      <c r="T362" s="187" t="s">
        <v>5616</v>
      </c>
      <c r="U362" s="187">
        <v>-44</v>
      </c>
      <c r="V362" s="186">
        <v>2725.4</v>
      </c>
      <c r="W362" s="186">
        <f t="shared" si="89"/>
        <v>-119917.6</v>
      </c>
      <c r="X362" s="275" t="s">
        <v>5590</v>
      </c>
      <c r="AH362" s="147">
        <v>96</v>
      </c>
      <c r="AI362" s="147" t="s">
        <v>5073</v>
      </c>
      <c r="AJ362" s="186">
        <v>20000</v>
      </c>
      <c r="AK362" s="147">
        <v>1</v>
      </c>
      <c r="AL362" s="147">
        <f t="shared" si="90"/>
        <v>486</v>
      </c>
      <c r="AM362" s="147">
        <f t="shared" si="91"/>
        <v>9720000</v>
      </c>
      <c r="AN362" s="147"/>
    </row>
    <row r="363" spans="17:45">
      <c r="Q363" s="97" t="s">
        <v>5095</v>
      </c>
      <c r="R363" s="93">
        <v>4046552</v>
      </c>
      <c r="T363" s="19" t="s">
        <v>5616</v>
      </c>
      <c r="U363" s="19">
        <v>106</v>
      </c>
      <c r="V363" s="115">
        <v>2725.4</v>
      </c>
      <c r="W363" s="115">
        <f t="shared" si="89"/>
        <v>288892.40000000002</v>
      </c>
      <c r="X363" s="276" t="s">
        <v>452</v>
      </c>
      <c r="AH363" s="20">
        <v>97</v>
      </c>
      <c r="AI363" s="20" t="s">
        <v>5083</v>
      </c>
      <c r="AJ363" s="115">
        <v>14340000</v>
      </c>
      <c r="AK363" s="20">
        <v>7</v>
      </c>
      <c r="AL363" s="20">
        <f t="shared" si="90"/>
        <v>485</v>
      </c>
      <c r="AM363" s="20">
        <f t="shared" si="91"/>
        <v>6954900000</v>
      </c>
      <c r="AN363" s="20"/>
    </row>
    <row r="364" spans="17:45" ht="30">
      <c r="Q364" s="97" t="s">
        <v>5098</v>
      </c>
      <c r="R364" s="93">
        <v>-3884943</v>
      </c>
      <c r="T364" s="187" t="s">
        <v>5605</v>
      </c>
      <c r="U364" s="187">
        <v>-55</v>
      </c>
      <c r="V364" s="186">
        <v>2730.81</v>
      </c>
      <c r="W364" s="186">
        <f t="shared" si="89"/>
        <v>-150194.54999999999</v>
      </c>
      <c r="X364" s="275" t="s">
        <v>5590</v>
      </c>
      <c r="AH364" s="20">
        <v>98</v>
      </c>
      <c r="AI364" s="20" t="s">
        <v>5090</v>
      </c>
      <c r="AJ364" s="115">
        <v>10000000</v>
      </c>
      <c r="AK364" s="20">
        <v>6</v>
      </c>
      <c r="AL364" s="20">
        <f t="shared" si="90"/>
        <v>478</v>
      </c>
      <c r="AM364" s="20">
        <f t="shared" si="91"/>
        <v>4780000000</v>
      </c>
      <c r="AN364" s="20" t="s">
        <v>4689</v>
      </c>
    </row>
    <row r="365" spans="17:45" ht="30">
      <c r="Q365" s="97" t="s">
        <v>5107</v>
      </c>
      <c r="R365" s="93">
        <v>6022</v>
      </c>
      <c r="T365" s="187" t="s">
        <v>5627</v>
      </c>
      <c r="U365" s="187">
        <v>-66</v>
      </c>
      <c r="V365" s="186">
        <v>3031</v>
      </c>
      <c r="W365" s="186">
        <f t="shared" si="89"/>
        <v>-200046</v>
      </c>
      <c r="X365" s="275" t="s">
        <v>5590</v>
      </c>
      <c r="AH365" s="20">
        <v>99</v>
      </c>
      <c r="AI365" s="20" t="s">
        <v>5095</v>
      </c>
      <c r="AJ365" s="115">
        <v>4033949</v>
      </c>
      <c r="AK365" s="20">
        <v>2</v>
      </c>
      <c r="AL365" s="20">
        <f t="shared" si="90"/>
        <v>472</v>
      </c>
      <c r="AM365" s="20">
        <f t="shared" si="91"/>
        <v>1904023928</v>
      </c>
      <c r="AN365" s="20" t="s">
        <v>5097</v>
      </c>
    </row>
    <row r="366" spans="17:45" ht="30">
      <c r="Q366" s="97" t="s">
        <v>5134</v>
      </c>
      <c r="R366" s="93">
        <v>400000</v>
      </c>
      <c r="T366" s="187" t="s">
        <v>5632</v>
      </c>
      <c r="U366" s="187">
        <v>-42</v>
      </c>
      <c r="V366" s="186">
        <v>2883</v>
      </c>
      <c r="W366" s="186">
        <f t="shared" si="89"/>
        <v>-121086</v>
      </c>
      <c r="X366" s="275" t="s">
        <v>5590</v>
      </c>
      <c r="AH366" s="147">
        <v>100</v>
      </c>
      <c r="AI366" s="147" t="s">
        <v>5101</v>
      </c>
      <c r="AJ366" s="186">
        <v>11500000</v>
      </c>
      <c r="AK366" s="147">
        <v>2</v>
      </c>
      <c r="AL366" s="147">
        <f t="shared" si="90"/>
        <v>470</v>
      </c>
      <c r="AM366" s="147">
        <f t="shared" si="91"/>
        <v>5405000000</v>
      </c>
      <c r="AN366" s="147" t="s">
        <v>5103</v>
      </c>
    </row>
    <row r="367" spans="17:45">
      <c r="Q367" s="97" t="s">
        <v>5138</v>
      </c>
      <c r="R367" s="93">
        <v>92847</v>
      </c>
      <c r="T367" s="19" t="s">
        <v>5644</v>
      </c>
      <c r="U367" s="19">
        <v>25901</v>
      </c>
      <c r="V367" s="115">
        <v>2258.9090000000001</v>
      </c>
      <c r="W367" s="115">
        <f t="shared" si="89"/>
        <v>58508002.009000003</v>
      </c>
      <c r="X367" s="276" t="s">
        <v>5139</v>
      </c>
      <c r="AH367" s="147">
        <v>101</v>
      </c>
      <c r="AI367" s="147" t="s">
        <v>5107</v>
      </c>
      <c r="AJ367" s="186">
        <v>250000</v>
      </c>
      <c r="AK367" s="147">
        <v>3</v>
      </c>
      <c r="AL367" s="147">
        <f t="shared" si="90"/>
        <v>468</v>
      </c>
      <c r="AM367" s="147">
        <f t="shared" si="91"/>
        <v>117000000</v>
      </c>
      <c r="AN367" s="147"/>
    </row>
    <row r="368" spans="17:45">
      <c r="Q368" s="97" t="s">
        <v>5138</v>
      </c>
      <c r="R368" s="93">
        <v>-100000</v>
      </c>
      <c r="T368" s="19" t="s">
        <v>5646</v>
      </c>
      <c r="U368" s="19">
        <v>951</v>
      </c>
      <c r="V368" s="115">
        <v>2361.2150799999999</v>
      </c>
      <c r="W368" s="115">
        <f t="shared" si="89"/>
        <v>2245515.5410799999</v>
      </c>
      <c r="X368" s="276" t="s">
        <v>5139</v>
      </c>
      <c r="Z368" t="s">
        <v>25</v>
      </c>
      <c r="AB368" t="s">
        <v>25</v>
      </c>
      <c r="AH368" s="147">
        <v>102</v>
      </c>
      <c r="AI368" s="147" t="s">
        <v>5132</v>
      </c>
      <c r="AJ368" s="186">
        <v>6000000</v>
      </c>
      <c r="AK368" s="147">
        <v>1</v>
      </c>
      <c r="AL368" s="147">
        <f t="shared" si="90"/>
        <v>465</v>
      </c>
      <c r="AM368" s="147">
        <f t="shared" si="91"/>
        <v>2790000000</v>
      </c>
      <c r="AN368" s="147" t="s">
        <v>5103</v>
      </c>
    </row>
    <row r="369" spans="16:45">
      <c r="Q369" s="97" t="s">
        <v>5142</v>
      </c>
      <c r="R369" s="93">
        <v>10000000</v>
      </c>
      <c r="T369" s="19" t="s">
        <v>5648</v>
      </c>
      <c r="U369" s="19">
        <v>7622</v>
      </c>
      <c r="V369" s="115">
        <v>2414.6810999999998</v>
      </c>
      <c r="W369" s="115">
        <f t="shared" si="89"/>
        <v>18404699.3442</v>
      </c>
      <c r="X369" s="276" t="s">
        <v>5139</v>
      </c>
      <c r="AH369" s="147">
        <v>103</v>
      </c>
      <c r="AI369" s="147" t="s">
        <v>5134</v>
      </c>
      <c r="AJ369" s="186">
        <v>1500000</v>
      </c>
      <c r="AK369" s="147">
        <v>6</v>
      </c>
      <c r="AL369" s="147">
        <f t="shared" si="90"/>
        <v>464</v>
      </c>
      <c r="AM369" s="147">
        <f t="shared" si="91"/>
        <v>696000000</v>
      </c>
      <c r="AN369" s="147" t="s">
        <v>5103</v>
      </c>
    </row>
    <row r="370" spans="16:45">
      <c r="Q370" s="97" t="s">
        <v>5147</v>
      </c>
      <c r="R370" s="93">
        <v>-400000</v>
      </c>
      <c r="T370" s="19" t="s">
        <v>5648</v>
      </c>
      <c r="U370" s="19">
        <v>-282</v>
      </c>
      <c r="V370" s="115">
        <v>2414.6810999999998</v>
      </c>
      <c r="W370" s="115">
        <f t="shared" si="89"/>
        <v>-680940.07019999996</v>
      </c>
      <c r="X370" s="276" t="s">
        <v>5649</v>
      </c>
      <c r="AH370" s="20">
        <v>104</v>
      </c>
      <c r="AI370" s="20" t="s">
        <v>960</v>
      </c>
      <c r="AJ370" s="115">
        <v>-3960043</v>
      </c>
      <c r="AK370" s="20">
        <v>2</v>
      </c>
      <c r="AL370" s="20">
        <f t="shared" si="90"/>
        <v>458</v>
      </c>
      <c r="AM370" s="20">
        <f t="shared" si="91"/>
        <v>-1813699694</v>
      </c>
      <c r="AN370" s="20"/>
    </row>
    <row r="371" spans="16:45">
      <c r="Q371" s="97" t="s">
        <v>5151</v>
      </c>
      <c r="R371" s="93">
        <v>5649</v>
      </c>
      <c r="T371" s="19" t="s">
        <v>5648</v>
      </c>
      <c r="U371" s="19">
        <v>20162</v>
      </c>
      <c r="V371" s="115">
        <v>2414.6810999999998</v>
      </c>
      <c r="W371" s="115">
        <f t="shared" si="89"/>
        <v>48684800.338199995</v>
      </c>
      <c r="X371" s="276" t="s">
        <v>5650</v>
      </c>
      <c r="AH371" s="20">
        <v>105</v>
      </c>
      <c r="AI371" s="20" t="s">
        <v>5153</v>
      </c>
      <c r="AJ371" s="115">
        <v>230000</v>
      </c>
      <c r="AK371" s="20">
        <v>0</v>
      </c>
      <c r="AL371" s="20">
        <f t="shared" si="90"/>
        <v>456</v>
      </c>
      <c r="AM371" s="20">
        <f t="shared" si="91"/>
        <v>104880000</v>
      </c>
      <c r="AN371" s="20"/>
    </row>
    <row r="372" spans="16:45">
      <c r="Q372" s="97" t="s">
        <v>5153</v>
      </c>
      <c r="R372" s="93">
        <v>460000</v>
      </c>
      <c r="T372" s="19" t="s">
        <v>5648</v>
      </c>
      <c r="U372" s="19">
        <v>-20162</v>
      </c>
      <c r="V372" s="115">
        <v>2414.6810999999998</v>
      </c>
      <c r="W372" s="115">
        <f t="shared" si="89"/>
        <v>-48684800.338199995</v>
      </c>
      <c r="X372" s="276" t="s">
        <v>744</v>
      </c>
      <c r="Y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1300000</v>
      </c>
      <c r="S373" t="s">
        <v>25</v>
      </c>
      <c r="T373" s="19" t="s">
        <v>5651</v>
      </c>
      <c r="U373" s="19">
        <v>977</v>
      </c>
      <c r="V373" s="115">
        <v>2317.971947</v>
      </c>
      <c r="W373" s="115">
        <f t="shared" si="89"/>
        <v>2264658.5922190002</v>
      </c>
      <c r="X373" s="276" t="s">
        <v>5139</v>
      </c>
      <c r="AA373" t="s">
        <v>25</v>
      </c>
      <c r="AH373" s="147">
        <v>107</v>
      </c>
      <c r="AI373" s="147" t="s">
        <v>5154</v>
      </c>
      <c r="AJ373" s="186">
        <v>500000</v>
      </c>
      <c r="AK373" s="147">
        <v>1</v>
      </c>
      <c r="AL373" s="147">
        <f t="shared" si="90"/>
        <v>455</v>
      </c>
      <c r="AM373" s="147">
        <f t="shared" si="91"/>
        <v>227500000</v>
      </c>
      <c r="AN373" s="147"/>
    </row>
    <row r="374" spans="16:45">
      <c r="Q374" s="97" t="s">
        <v>5154</v>
      </c>
      <c r="R374" s="93">
        <v>7300000</v>
      </c>
      <c r="T374" s="19" t="s">
        <v>5653</v>
      </c>
      <c r="U374" s="19">
        <v>10280</v>
      </c>
      <c r="V374" s="115">
        <v>2225.429357</v>
      </c>
      <c r="W374" s="115">
        <f t="shared" si="89"/>
        <v>22877413.789960001</v>
      </c>
      <c r="X374" s="276" t="s">
        <v>5139</v>
      </c>
      <c r="AH374" s="20">
        <v>108</v>
      </c>
      <c r="AI374" s="20" t="s">
        <v>5157</v>
      </c>
      <c r="AJ374" s="115">
        <v>-880000</v>
      </c>
      <c r="AK374" s="20">
        <v>4</v>
      </c>
      <c r="AL374" s="20">
        <f t="shared" si="90"/>
        <v>454</v>
      </c>
      <c r="AM374" s="20">
        <f t="shared" si="91"/>
        <v>-399520000</v>
      </c>
      <c r="AN374" s="20"/>
      <c r="AS374" t="s">
        <v>25</v>
      </c>
    </row>
    <row r="375" spans="16:45">
      <c r="Q375" s="97" t="s">
        <v>977</v>
      </c>
      <c r="R375" s="93">
        <v>21203</v>
      </c>
      <c r="T375" s="19" t="s">
        <v>5656</v>
      </c>
      <c r="U375" s="19">
        <v>1022</v>
      </c>
      <c r="V375" s="115">
        <v>2311.6824240000001</v>
      </c>
      <c r="W375" s="115">
        <f t="shared" si="89"/>
        <v>2362539.4373280001</v>
      </c>
      <c r="X375" s="276" t="s">
        <v>5139</v>
      </c>
      <c r="AH375" s="193">
        <v>109</v>
      </c>
      <c r="AI375" s="193" t="s">
        <v>5161</v>
      </c>
      <c r="AJ375" s="194">
        <v>873000</v>
      </c>
      <c r="AK375" s="193">
        <v>0</v>
      </c>
      <c r="AL375" s="193">
        <f t="shared" si="90"/>
        <v>450</v>
      </c>
      <c r="AM375" s="193">
        <f t="shared" si="91"/>
        <v>392850000</v>
      </c>
      <c r="AN375" s="193" t="s">
        <v>5103</v>
      </c>
    </row>
    <row r="376" spans="16:45">
      <c r="Q376" s="97" t="s">
        <v>4257</v>
      </c>
      <c r="R376" s="93">
        <v>34550</v>
      </c>
      <c r="T376" s="19" t="s">
        <v>5657</v>
      </c>
      <c r="U376" s="19">
        <v>6818</v>
      </c>
      <c r="V376" s="115">
        <v>2352.988656</v>
      </c>
      <c r="W376" s="115">
        <f t="shared" si="89"/>
        <v>16042676.656608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5152</v>
      </c>
      <c r="R377" s="93">
        <v>-2134406</v>
      </c>
      <c r="T377" s="19" t="s">
        <v>5658</v>
      </c>
      <c r="U377" s="19">
        <v>8023</v>
      </c>
      <c r="V377" s="115">
        <v>2293.8167079999998</v>
      </c>
      <c r="W377" s="115">
        <f t="shared" si="89"/>
        <v>18403291.448284</v>
      </c>
      <c r="X377" s="276" t="s">
        <v>5139</v>
      </c>
      <c r="AH377" s="20">
        <v>111</v>
      </c>
      <c r="AI377" s="20" t="s">
        <v>5161</v>
      </c>
      <c r="AJ377" s="115">
        <v>73000</v>
      </c>
      <c r="AK377" s="20">
        <v>1</v>
      </c>
      <c r="AL377" s="20">
        <f t="shared" si="90"/>
        <v>450</v>
      </c>
      <c r="AM377" s="20">
        <f t="shared" si="91"/>
        <v>32850000</v>
      </c>
      <c r="AN377" s="20"/>
      <c r="AR377" t="s">
        <v>25</v>
      </c>
    </row>
    <row r="378" spans="16:45">
      <c r="Q378" s="97" t="s">
        <v>5190</v>
      </c>
      <c r="R378" s="93">
        <v>-618906</v>
      </c>
      <c r="T378" s="19" t="s">
        <v>5661</v>
      </c>
      <c r="U378" s="19">
        <v>4666</v>
      </c>
      <c r="V378" s="115">
        <v>2263.4906230000001</v>
      </c>
      <c r="W378" s="115">
        <f t="shared" si="89"/>
        <v>10561447.246918</v>
      </c>
      <c r="X378" s="276" t="s">
        <v>5139</v>
      </c>
      <c r="Y378" t="s">
        <v>25</v>
      </c>
      <c r="AH378" s="20">
        <v>112</v>
      </c>
      <c r="AI378" s="20" t="s">
        <v>977</v>
      </c>
      <c r="AJ378" s="115">
        <v>4300000</v>
      </c>
      <c r="AK378" s="20">
        <v>1</v>
      </c>
      <c r="AL378" s="20">
        <f t="shared" si="90"/>
        <v>449</v>
      </c>
      <c r="AM378" s="20">
        <f t="shared" si="91"/>
        <v>1930700000</v>
      </c>
      <c r="AN378" s="20"/>
    </row>
    <row r="379" spans="16:45">
      <c r="Q379" s="97" t="s">
        <v>5193</v>
      </c>
      <c r="R379" s="93">
        <v>-54615</v>
      </c>
      <c r="T379" s="19" t="s">
        <v>5662</v>
      </c>
      <c r="U379" s="19">
        <v>542</v>
      </c>
      <c r="V379" s="115">
        <v>2263.4906230000001</v>
      </c>
      <c r="W379" s="115">
        <f t="shared" si="89"/>
        <v>1226811.9176660001</v>
      </c>
      <c r="X379" s="276" t="s">
        <v>5139</v>
      </c>
      <c r="AH379" s="20">
        <v>113</v>
      </c>
      <c r="AI379" s="20" t="s">
        <v>5031</v>
      </c>
      <c r="AJ379" s="115">
        <v>1600000</v>
      </c>
      <c r="AK379" s="20">
        <v>0</v>
      </c>
      <c r="AL379" s="20">
        <f t="shared" si="90"/>
        <v>448</v>
      </c>
      <c r="AM379" s="20">
        <f t="shared" si="91"/>
        <v>716800000</v>
      </c>
      <c r="AN379" s="20"/>
    </row>
    <row r="380" spans="16:45">
      <c r="Q380" s="97" t="s">
        <v>5235</v>
      </c>
      <c r="R380" s="93">
        <v>18000000</v>
      </c>
      <c r="T380" s="19" t="s">
        <v>5663</v>
      </c>
      <c r="U380" s="19">
        <v>16629</v>
      </c>
      <c r="V380" s="115">
        <v>2367.7887540000002</v>
      </c>
      <c r="W380" s="115">
        <f t="shared" si="89"/>
        <v>39373959.190266006</v>
      </c>
      <c r="X380" s="276" t="s">
        <v>5139</v>
      </c>
      <c r="AH380" s="20">
        <v>114</v>
      </c>
      <c r="AI380" s="20" t="s">
        <v>4257</v>
      </c>
      <c r="AJ380" s="115">
        <v>-10000000</v>
      </c>
      <c r="AK380" s="20">
        <v>1</v>
      </c>
      <c r="AL380" s="20">
        <f t="shared" si="90"/>
        <v>448</v>
      </c>
      <c r="AM380" s="20">
        <f t="shared" si="91"/>
        <v>-4480000000</v>
      </c>
      <c r="AN380" s="20" t="s">
        <v>5168</v>
      </c>
    </row>
    <row r="381" spans="16:45">
      <c r="Q381" s="97" t="s">
        <v>5282</v>
      </c>
      <c r="R381" s="93">
        <v>20000000</v>
      </c>
      <c r="T381" s="19" t="s">
        <v>5668</v>
      </c>
      <c r="U381" s="19">
        <v>11765</v>
      </c>
      <c r="V381" s="115">
        <v>2354.7375320000001</v>
      </c>
      <c r="W381" s="115">
        <f t="shared" si="89"/>
        <v>27703487.063980002</v>
      </c>
      <c r="X381" s="276" t="s">
        <v>5139</v>
      </c>
      <c r="AH381" s="20">
        <v>115</v>
      </c>
      <c r="AI381" s="20" t="s">
        <v>5167</v>
      </c>
      <c r="AJ381" s="115">
        <v>571000</v>
      </c>
      <c r="AK381" s="20">
        <v>4</v>
      </c>
      <c r="AL381" s="20">
        <f t="shared" si="90"/>
        <v>447</v>
      </c>
      <c r="AM381" s="20">
        <f t="shared" si="91"/>
        <v>255237000</v>
      </c>
      <c r="AN381" s="20"/>
      <c r="AP381" t="s">
        <v>25</v>
      </c>
    </row>
    <row r="382" spans="16:45">
      <c r="Q382" s="97" t="s">
        <v>5289</v>
      </c>
      <c r="R382" s="93">
        <v>27694196</v>
      </c>
      <c r="T382" s="19" t="s">
        <v>5669</v>
      </c>
      <c r="U382" s="19">
        <v>3672</v>
      </c>
      <c r="V382" s="115">
        <v>2379.873826</v>
      </c>
      <c r="W382" s="115">
        <f t="shared" si="89"/>
        <v>8738896.6890719999</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5364</v>
      </c>
      <c r="R383" s="93">
        <v>7211722</v>
      </c>
      <c r="T383" s="19" t="s">
        <v>4186</v>
      </c>
      <c r="U383" s="19">
        <v>140</v>
      </c>
      <c r="V383" s="115">
        <v>2487.154767</v>
      </c>
      <c r="W383" s="115">
        <f t="shared" si="89"/>
        <v>348201.66738</v>
      </c>
      <c r="X383" s="276" t="s">
        <v>5139</v>
      </c>
      <c r="AH383" s="147">
        <v>117</v>
      </c>
      <c r="AI383" s="147" t="s">
        <v>5175</v>
      </c>
      <c r="AJ383" s="186">
        <v>50000</v>
      </c>
      <c r="AK383" s="147">
        <v>7</v>
      </c>
      <c r="AL383" s="147">
        <f t="shared" si="92"/>
        <v>440</v>
      </c>
      <c r="AM383" s="147">
        <f t="shared" si="93"/>
        <v>22000000</v>
      </c>
      <c r="AN383" s="147"/>
    </row>
    <row r="384" spans="16:45">
      <c r="P384" t="s">
        <v>25</v>
      </c>
      <c r="Q384" s="97" t="s">
        <v>5365</v>
      </c>
      <c r="R384" s="93">
        <v>8481864</v>
      </c>
      <c r="T384" s="19" t="s">
        <v>5671</v>
      </c>
      <c r="U384" s="19">
        <v>1616</v>
      </c>
      <c r="V384" s="115">
        <v>2573.0760479999999</v>
      </c>
      <c r="W384" s="115">
        <f t="shared" si="89"/>
        <v>4158090.8935679998</v>
      </c>
      <c r="X384" s="276" t="s">
        <v>5139</v>
      </c>
      <c r="AH384" s="20">
        <v>118</v>
      </c>
      <c r="AI384" s="20" t="s">
        <v>5183</v>
      </c>
      <c r="AJ384" s="115">
        <v>-500000</v>
      </c>
      <c r="AK384" s="20">
        <v>12</v>
      </c>
      <c r="AL384" s="20">
        <f t="shared" si="92"/>
        <v>433</v>
      </c>
      <c r="AM384" s="20">
        <f t="shared" si="93"/>
        <v>-216500000</v>
      </c>
      <c r="AN384" s="20"/>
    </row>
    <row r="385" spans="17:45">
      <c r="Q385" s="97" t="s">
        <v>5373</v>
      </c>
      <c r="R385" s="93">
        <v>1558697</v>
      </c>
      <c r="T385" s="187" t="s">
        <v>5672</v>
      </c>
      <c r="U385" s="187">
        <v>-2272</v>
      </c>
      <c r="V385" s="186">
        <v>2639.970566</v>
      </c>
      <c r="W385" s="186">
        <f t="shared" si="89"/>
        <v>-5998013.1259519998</v>
      </c>
      <c r="X385" s="275" t="s">
        <v>5683</v>
      </c>
      <c r="AH385" s="147">
        <v>119</v>
      </c>
      <c r="AI385" s="147" t="s">
        <v>976</v>
      </c>
      <c r="AJ385" s="186">
        <v>-50000</v>
      </c>
      <c r="AK385" s="147">
        <v>0</v>
      </c>
      <c r="AL385" s="147">
        <f t="shared" si="92"/>
        <v>421</v>
      </c>
      <c r="AM385" s="147">
        <f t="shared" si="93"/>
        <v>-21050000</v>
      </c>
      <c r="AN385" s="147"/>
    </row>
    <row r="386" spans="17:45">
      <c r="Q386" s="97" t="s">
        <v>5378</v>
      </c>
      <c r="R386" s="93">
        <v>9042009</v>
      </c>
      <c r="T386" s="19" t="s">
        <v>5672</v>
      </c>
      <c r="U386" s="19">
        <v>2272</v>
      </c>
      <c r="V386" s="115">
        <v>2639.970566</v>
      </c>
      <c r="W386" s="115">
        <f t="shared" si="89"/>
        <v>5998013.1259519998</v>
      </c>
      <c r="X386" s="276" t="s">
        <v>5682</v>
      </c>
      <c r="Z386" t="s">
        <v>25</v>
      </c>
      <c r="AH386" s="20">
        <v>120</v>
      </c>
      <c r="AI386" s="20" t="s">
        <v>976</v>
      </c>
      <c r="AJ386" s="115">
        <v>-50000</v>
      </c>
      <c r="AK386" s="20">
        <v>28</v>
      </c>
      <c r="AL386" s="20">
        <f t="shared" si="92"/>
        <v>421</v>
      </c>
      <c r="AM386" s="20">
        <f t="shared" si="93"/>
        <v>-21050000</v>
      </c>
      <c r="AN386" s="20"/>
      <c r="AQ386" t="s">
        <v>25</v>
      </c>
    </row>
    <row r="387" spans="17:45" ht="30">
      <c r="Q387" s="97" t="s">
        <v>5379</v>
      </c>
      <c r="R387" s="93">
        <v>94969</v>
      </c>
      <c r="T387" s="19" t="s">
        <v>5672</v>
      </c>
      <c r="U387" s="19">
        <v>4434</v>
      </c>
      <c r="V387" s="115">
        <v>2639.970566</v>
      </c>
      <c r="W387" s="115">
        <f t="shared" si="89"/>
        <v>11705629.489644</v>
      </c>
      <c r="X387" s="276" t="s">
        <v>5684</v>
      </c>
      <c r="AF387" s="94" t="s">
        <v>25</v>
      </c>
      <c r="AH387" s="20">
        <v>121</v>
      </c>
      <c r="AI387" s="20" t="s">
        <v>5224</v>
      </c>
      <c r="AJ387" s="115">
        <v>-3020625</v>
      </c>
      <c r="AK387" s="20">
        <v>18</v>
      </c>
      <c r="AL387" s="20">
        <f t="shared" si="92"/>
        <v>393</v>
      </c>
      <c r="AM387" s="20">
        <f t="shared" si="93"/>
        <v>-1187105625</v>
      </c>
      <c r="AN387" s="20"/>
    </row>
    <row r="388" spans="17:45" ht="30">
      <c r="Q388" s="97" t="s">
        <v>5383</v>
      </c>
      <c r="R388" s="93">
        <v>40000000</v>
      </c>
      <c r="T388" s="187" t="s">
        <v>5672</v>
      </c>
      <c r="U388" s="187">
        <v>-2349</v>
      </c>
      <c r="V388" s="186">
        <v>2639.970566</v>
      </c>
      <c r="W388" s="186">
        <f t="shared" si="89"/>
        <v>-6201290.859534</v>
      </c>
      <c r="X388" s="275" t="s">
        <v>5685</v>
      </c>
      <c r="AA388" t="s">
        <v>25</v>
      </c>
      <c r="AH388" s="20">
        <v>122</v>
      </c>
      <c r="AI388" s="20" t="s">
        <v>5235</v>
      </c>
      <c r="AJ388" s="115">
        <v>18000000</v>
      </c>
      <c r="AK388" s="20">
        <v>19</v>
      </c>
      <c r="AL388" s="20">
        <f t="shared" si="92"/>
        <v>375</v>
      </c>
      <c r="AM388" s="20">
        <f t="shared" si="93"/>
        <v>6750000000</v>
      </c>
      <c r="AN388" s="20"/>
      <c r="AS388" t="s">
        <v>25</v>
      </c>
    </row>
    <row r="389" spans="17:45">
      <c r="Q389" s="97" t="s">
        <v>5383</v>
      </c>
      <c r="R389" s="93">
        <v>2806274</v>
      </c>
      <c r="T389" s="19" t="s">
        <v>5672</v>
      </c>
      <c r="U389" s="19">
        <v>2349</v>
      </c>
      <c r="V389" s="115">
        <v>2639.970566</v>
      </c>
      <c r="W389" s="115">
        <f t="shared" si="89"/>
        <v>6201290.859534</v>
      </c>
      <c r="X389" s="276" t="s">
        <v>5686</v>
      </c>
      <c r="AH389" s="20">
        <v>123</v>
      </c>
      <c r="AI389" s="20" t="s">
        <v>5263</v>
      </c>
      <c r="AJ389" s="115">
        <v>2000000</v>
      </c>
      <c r="AK389" s="20">
        <v>6</v>
      </c>
      <c r="AL389" s="20">
        <f t="shared" si="92"/>
        <v>356</v>
      </c>
      <c r="AM389" s="20">
        <f t="shared" si="93"/>
        <v>712000000</v>
      </c>
      <c r="AN389" s="20"/>
    </row>
    <row r="390" spans="17:45" ht="30">
      <c r="Q390" s="97" t="s">
        <v>5384</v>
      </c>
      <c r="R390" s="93">
        <v>1331702</v>
      </c>
      <c r="T390" s="19" t="s">
        <v>5672</v>
      </c>
      <c r="U390" s="19">
        <v>-568</v>
      </c>
      <c r="V390" s="115">
        <v>2639.970566</v>
      </c>
      <c r="W390" s="115">
        <f t="shared" si="89"/>
        <v>-1499503.2814879999</v>
      </c>
      <c r="X390" s="276" t="s">
        <v>5687</v>
      </c>
      <c r="AA390" t="s">
        <v>25</v>
      </c>
      <c r="AH390" s="147">
        <v>124</v>
      </c>
      <c r="AI390" s="147" t="s">
        <v>5273</v>
      </c>
      <c r="AJ390" s="186">
        <v>40000000</v>
      </c>
      <c r="AK390" s="147">
        <v>6</v>
      </c>
      <c r="AL390" s="147">
        <f t="shared" si="92"/>
        <v>350</v>
      </c>
      <c r="AM390" s="147">
        <f t="shared" si="93"/>
        <v>14000000000</v>
      </c>
      <c r="AN390" s="147"/>
    </row>
    <row r="391" spans="17:45" ht="30">
      <c r="Q391" s="97" t="s">
        <v>5392</v>
      </c>
      <c r="R391" s="93">
        <v>851238</v>
      </c>
      <c r="T391" s="19" t="s">
        <v>5672</v>
      </c>
      <c r="U391" s="19">
        <v>568</v>
      </c>
      <c r="V391" s="115">
        <v>2639.970566</v>
      </c>
      <c r="W391" s="115">
        <f t="shared" si="89"/>
        <v>1499503.2814879999</v>
      </c>
      <c r="X391" s="276" t="s">
        <v>5687</v>
      </c>
      <c r="Z391" t="s">
        <v>25</v>
      </c>
      <c r="AA391" t="s">
        <v>25</v>
      </c>
      <c r="AH391" s="20">
        <v>125</v>
      </c>
      <c r="AI391" s="20" t="s">
        <v>5282</v>
      </c>
      <c r="AJ391" s="115">
        <v>200000</v>
      </c>
      <c r="AK391" s="20">
        <v>0</v>
      </c>
      <c r="AL391" s="20">
        <f t="shared" si="92"/>
        <v>344</v>
      </c>
      <c r="AM391" s="20">
        <f t="shared" si="93"/>
        <v>68800000</v>
      </c>
      <c r="AN391" s="20"/>
    </row>
    <row r="392" spans="17:45">
      <c r="Q392" s="97" t="s">
        <v>5426</v>
      </c>
      <c r="R392" s="93">
        <v>652592</v>
      </c>
      <c r="T392" s="19" t="s">
        <v>5676</v>
      </c>
      <c r="U392" s="19">
        <v>4589</v>
      </c>
      <c r="V392" s="115">
        <v>2639.970566</v>
      </c>
      <c r="W392" s="115">
        <f t="shared" si="89"/>
        <v>12114824.927374</v>
      </c>
      <c r="X392" s="276" t="s">
        <v>5690</v>
      </c>
      <c r="AH392" s="147">
        <v>126</v>
      </c>
      <c r="AI392" s="147" t="s">
        <v>5282</v>
      </c>
      <c r="AJ392" s="186">
        <v>200000</v>
      </c>
      <c r="AK392" s="147">
        <v>1</v>
      </c>
      <c r="AL392" s="147">
        <f t="shared" si="92"/>
        <v>344</v>
      </c>
      <c r="AM392" s="147">
        <f t="shared" si="93"/>
        <v>68800000</v>
      </c>
      <c r="AN392" s="147"/>
    </row>
    <row r="393" spans="17:45">
      <c r="Q393" s="97" t="s">
        <v>5474</v>
      </c>
      <c r="R393" s="93">
        <v>554139</v>
      </c>
      <c r="T393" s="19" t="s">
        <v>5676</v>
      </c>
      <c r="U393" s="19">
        <v>41959</v>
      </c>
      <c r="V393" s="115">
        <v>2639.970566</v>
      </c>
      <c r="W393" s="115">
        <f t="shared" ref="W393:W461" si="94">U393*V393</f>
        <v>110770524.97879399</v>
      </c>
      <c r="X393" s="276" t="s">
        <v>5139</v>
      </c>
      <c r="AH393" s="20">
        <v>127</v>
      </c>
      <c r="AI393" s="20" t="s">
        <v>5285</v>
      </c>
      <c r="AJ393" s="115">
        <v>50000</v>
      </c>
      <c r="AK393" s="20">
        <v>4</v>
      </c>
      <c r="AL393" s="20">
        <f t="shared" si="92"/>
        <v>343</v>
      </c>
      <c r="AM393" s="20">
        <f t="shared" si="93"/>
        <v>17150000</v>
      </c>
      <c r="AN393" s="20"/>
      <c r="AR393" t="s">
        <v>25</v>
      </c>
    </row>
    <row r="394" spans="17:45">
      <c r="Q394" s="97" t="s">
        <v>5475</v>
      </c>
      <c r="R394" s="93">
        <v>70373089</v>
      </c>
      <c r="T394" s="19" t="s">
        <v>5693</v>
      </c>
      <c r="U394" s="19">
        <v>2486</v>
      </c>
      <c r="V394" s="115">
        <v>2688.7156100000002</v>
      </c>
      <c r="W394" s="115">
        <f t="shared" si="94"/>
        <v>6684147.0064600008</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5476</v>
      </c>
      <c r="R395" s="93">
        <v>1219655</v>
      </c>
      <c r="S395" t="s">
        <v>25</v>
      </c>
      <c r="T395" s="19" t="s">
        <v>5697</v>
      </c>
      <c r="U395" s="19">
        <v>652</v>
      </c>
      <c r="V395" s="115">
        <v>2801.4344030000002</v>
      </c>
      <c r="W395" s="115">
        <f t="shared" si="94"/>
        <v>1826535.2307560001</v>
      </c>
      <c r="X395" s="276" t="s">
        <v>5139</v>
      </c>
      <c r="Y395" t="s">
        <v>25</v>
      </c>
      <c r="AH395" s="20">
        <v>129</v>
      </c>
      <c r="AI395" s="20" t="s">
        <v>5303</v>
      </c>
      <c r="AJ395" s="115">
        <v>-550000</v>
      </c>
      <c r="AK395" s="20">
        <v>5</v>
      </c>
      <c r="AL395" s="20">
        <f t="shared" si="95"/>
        <v>330</v>
      </c>
      <c r="AM395" s="20">
        <f t="shared" si="96"/>
        <v>-181500000</v>
      </c>
      <c r="AN395" s="20"/>
    </row>
    <row r="396" spans="17:45">
      <c r="Q396" s="97" t="s">
        <v>5477</v>
      </c>
      <c r="R396" s="93">
        <v>15350146</v>
      </c>
      <c r="T396" s="187" t="s">
        <v>5697</v>
      </c>
      <c r="U396" s="187">
        <v>-536</v>
      </c>
      <c r="V396" s="186">
        <v>2801.4344030000002</v>
      </c>
      <c r="W396" s="186">
        <f t="shared" si="94"/>
        <v>-1501568.8400080001</v>
      </c>
      <c r="X396" s="275" t="s">
        <v>5711</v>
      </c>
      <c r="AH396" s="20">
        <v>130</v>
      </c>
      <c r="AI396" s="20" t="s">
        <v>5308</v>
      </c>
      <c r="AJ396" s="115">
        <v>-29686490</v>
      </c>
      <c r="AK396" s="20">
        <v>1</v>
      </c>
      <c r="AL396" s="20">
        <f t="shared" si="95"/>
        <v>325</v>
      </c>
      <c r="AM396" s="20">
        <f t="shared" si="96"/>
        <v>-9648109250</v>
      </c>
      <c r="AN396" s="20"/>
    </row>
    <row r="397" spans="17:45">
      <c r="Q397" s="97" t="s">
        <v>5478</v>
      </c>
      <c r="R397" s="93">
        <v>121018</v>
      </c>
      <c r="T397" s="19" t="s">
        <v>5701</v>
      </c>
      <c r="U397" s="19">
        <v>1351</v>
      </c>
      <c r="V397" s="115">
        <v>2647.94</v>
      </c>
      <c r="W397" s="115">
        <f t="shared" si="94"/>
        <v>3577366.94</v>
      </c>
      <c r="X397" s="276" t="s">
        <v>5139</v>
      </c>
      <c r="AH397" s="20">
        <v>131</v>
      </c>
      <c r="AI397" s="20" t="s">
        <v>5316</v>
      </c>
      <c r="AJ397" s="115">
        <v>-9000000</v>
      </c>
      <c r="AK397" s="20">
        <v>8</v>
      </c>
      <c r="AL397" s="20">
        <f t="shared" si="95"/>
        <v>324</v>
      </c>
      <c r="AM397" s="20">
        <f t="shared" si="96"/>
        <v>-2916000000</v>
      </c>
      <c r="AN397" s="20"/>
    </row>
    <row r="398" spans="17:45" ht="21" customHeight="1">
      <c r="Q398" s="97" t="s">
        <v>5482</v>
      </c>
      <c r="R398" s="93">
        <v>1024993</v>
      </c>
      <c r="T398" s="19" t="s">
        <v>5703</v>
      </c>
      <c r="U398" s="19">
        <v>8402</v>
      </c>
      <c r="V398" s="115">
        <v>2527.8539839999999</v>
      </c>
      <c r="W398" s="115">
        <f t="shared" si="94"/>
        <v>21239029.173567999</v>
      </c>
      <c r="X398" s="276" t="s">
        <v>5139</v>
      </c>
      <c r="AH398" s="20">
        <v>132</v>
      </c>
      <c r="AI398" s="20" t="s">
        <v>5360</v>
      </c>
      <c r="AJ398" s="115">
        <v>810000</v>
      </c>
      <c r="AK398" s="20">
        <v>2</v>
      </c>
      <c r="AL398" s="20">
        <f t="shared" si="95"/>
        <v>316</v>
      </c>
      <c r="AM398" s="20">
        <f t="shared" si="96"/>
        <v>255960000</v>
      </c>
      <c r="AN398" s="20"/>
    </row>
    <row r="399" spans="17:45">
      <c r="Q399" s="97" t="s">
        <v>5498</v>
      </c>
      <c r="R399" s="93">
        <v>1948077</v>
      </c>
      <c r="T399" s="19" t="s">
        <v>5708</v>
      </c>
      <c r="U399" s="19">
        <v>98141</v>
      </c>
      <c r="V399" s="115">
        <v>2475.593813</v>
      </c>
      <c r="W399" s="115">
        <f t="shared" si="94"/>
        <v>242957252.40163299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5499</v>
      </c>
      <c r="R400" s="93">
        <v>50000120</v>
      </c>
      <c r="T400" s="19" t="s">
        <v>5712</v>
      </c>
      <c r="U400" s="19">
        <v>2910</v>
      </c>
      <c r="V400" s="115">
        <v>2528.240988</v>
      </c>
      <c r="W400" s="115">
        <f t="shared" si="94"/>
        <v>7357181.2750800001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5500</v>
      </c>
      <c r="R401" s="93">
        <v>20000055</v>
      </c>
      <c r="T401" s="19" t="s">
        <v>5714</v>
      </c>
      <c r="U401" s="19">
        <v>5652</v>
      </c>
      <c r="V401" s="115">
        <v>2645.3312000000001</v>
      </c>
      <c r="W401" s="115">
        <f t="shared" si="94"/>
        <v>14951411.942400001</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5528</v>
      </c>
      <c r="R402" s="93">
        <v>5745697</v>
      </c>
      <c r="T402" s="19" t="s">
        <v>5718</v>
      </c>
      <c r="U402" s="19">
        <v>18764</v>
      </c>
      <c r="V402" s="115">
        <v>2554.2639829999998</v>
      </c>
      <c r="W402" s="115">
        <f t="shared" si="94"/>
        <v>47928209.377011999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5529</v>
      </c>
      <c r="R403" s="93">
        <v>908158</v>
      </c>
      <c r="T403" s="19" t="s">
        <v>5720</v>
      </c>
      <c r="U403" s="19">
        <v>930</v>
      </c>
      <c r="V403" s="115">
        <v>2453.3287089999999</v>
      </c>
      <c r="W403" s="115">
        <f t="shared" si="94"/>
        <v>2281595.69937</v>
      </c>
      <c r="X403" s="276" t="s">
        <v>5139</v>
      </c>
      <c r="AH403" s="252">
        <v>137</v>
      </c>
      <c r="AI403" s="252" t="s">
        <v>5378</v>
      </c>
      <c r="AJ403" s="243">
        <v>-110000000</v>
      </c>
      <c r="AK403" s="252">
        <v>1</v>
      </c>
      <c r="AL403" s="252">
        <f t="shared" si="95"/>
        <v>310</v>
      </c>
      <c r="AM403" s="252">
        <f t="shared" si="96"/>
        <v>-34100000000</v>
      </c>
      <c r="AN403" s="252"/>
    </row>
    <row r="404" spans="17:45">
      <c r="Q404" s="97" t="s">
        <v>5530</v>
      </c>
      <c r="R404" s="93">
        <v>12642697</v>
      </c>
      <c r="T404" s="19" t="s">
        <v>5722</v>
      </c>
      <c r="U404" s="19">
        <v>1167</v>
      </c>
      <c r="V404" s="115">
        <v>2540.6307069999998</v>
      </c>
      <c r="W404" s="115">
        <f t="shared" si="94"/>
        <v>2964916.035069</v>
      </c>
      <c r="X404" s="276" t="s">
        <v>5139</v>
      </c>
      <c r="AH404" s="20">
        <v>138</v>
      </c>
      <c r="AI404" s="20" t="s">
        <v>5379</v>
      </c>
      <c r="AJ404" s="115">
        <v>-34000000</v>
      </c>
      <c r="AK404" s="20">
        <v>0</v>
      </c>
      <c r="AL404" s="20">
        <f t="shared" si="95"/>
        <v>309</v>
      </c>
      <c r="AM404" s="20">
        <f t="shared" si="96"/>
        <v>-10506000000</v>
      </c>
      <c r="AN404" s="20"/>
    </row>
    <row r="405" spans="17:45">
      <c r="Q405" s="97" t="s">
        <v>5531</v>
      </c>
      <c r="R405" s="93">
        <v>12297317.81435</v>
      </c>
      <c r="T405" s="19" t="s">
        <v>5723</v>
      </c>
      <c r="U405" s="19">
        <v>2538</v>
      </c>
      <c r="V405" s="115">
        <v>2545.5277489999999</v>
      </c>
      <c r="W405" s="115">
        <f t="shared" si="94"/>
        <v>6460549.4269619994</v>
      </c>
      <c r="X405" s="276" t="s">
        <v>5139</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5532</v>
      </c>
      <c r="R406" s="93">
        <v>8959643.8508579992</v>
      </c>
      <c r="T406" s="19" t="s">
        <v>5725</v>
      </c>
      <c r="U406" s="19">
        <v>2106</v>
      </c>
      <c r="V406" s="115">
        <v>2474.9857059999999</v>
      </c>
      <c r="W406" s="115">
        <f t="shared" si="94"/>
        <v>5212319.8968359996</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5533</v>
      </c>
      <c r="R407" s="93">
        <v>15154095.839328</v>
      </c>
      <c r="T407" s="19" t="s">
        <v>5728</v>
      </c>
      <c r="U407" s="19">
        <v>1801</v>
      </c>
      <c r="V407" s="115">
        <v>2512.2134809999998</v>
      </c>
      <c r="W407" s="115">
        <f t="shared" si="94"/>
        <v>4524496.4792809999</v>
      </c>
      <c r="X407" s="276" t="s">
        <v>5139</v>
      </c>
      <c r="Y407" t="s">
        <v>25</v>
      </c>
      <c r="AH407" s="147">
        <v>141</v>
      </c>
      <c r="AI407" s="147" t="s">
        <v>5392</v>
      </c>
      <c r="AJ407" s="186">
        <v>1000000</v>
      </c>
      <c r="AK407" s="147">
        <v>4</v>
      </c>
      <c r="AL407" s="147">
        <f t="shared" si="97"/>
        <v>304</v>
      </c>
      <c r="AM407" s="147">
        <f t="shared" si="98"/>
        <v>304000000</v>
      </c>
      <c r="AN407" s="147"/>
    </row>
    <row r="408" spans="17:45">
      <c r="Q408" s="97" t="s">
        <v>5554</v>
      </c>
      <c r="R408" s="93">
        <v>50725508.571864001</v>
      </c>
      <c r="T408" s="19" t="s">
        <v>5730</v>
      </c>
      <c r="U408" s="19">
        <v>9184</v>
      </c>
      <c r="V408" s="115">
        <v>2489.76919</v>
      </c>
      <c r="W408" s="115">
        <f t="shared" si="94"/>
        <v>22866040.240959998</v>
      </c>
      <c r="X408" s="276" t="s">
        <v>5139</v>
      </c>
      <c r="Z408" t="s">
        <v>25</v>
      </c>
      <c r="AH408" s="20">
        <v>142</v>
      </c>
      <c r="AI408" s="20" t="s">
        <v>5398</v>
      </c>
      <c r="AJ408" s="115">
        <v>400000</v>
      </c>
      <c r="AK408" s="20">
        <v>0</v>
      </c>
      <c r="AL408" s="20">
        <f t="shared" si="97"/>
        <v>300</v>
      </c>
      <c r="AM408" s="20">
        <f t="shared" si="98"/>
        <v>120000000</v>
      </c>
      <c r="AN408" s="20"/>
    </row>
    <row r="409" spans="17:45">
      <c r="Q409" s="97" t="s">
        <v>5556</v>
      </c>
      <c r="R409" s="93">
        <v>2281961.458596</v>
      </c>
      <c r="T409" s="19" t="s">
        <v>5732</v>
      </c>
      <c r="U409" s="19">
        <v>6259</v>
      </c>
      <c r="V409" s="115">
        <v>2453.954988</v>
      </c>
      <c r="W409" s="115">
        <f t="shared" si="94"/>
        <v>15359304.269892</v>
      </c>
      <c r="X409" s="276" t="s">
        <v>5139</v>
      </c>
      <c r="Y409" t="s">
        <v>25</v>
      </c>
      <c r="AH409" s="147">
        <v>143</v>
      </c>
      <c r="AI409" s="147" t="s">
        <v>5398</v>
      </c>
      <c r="AJ409" s="186">
        <v>400000</v>
      </c>
      <c r="AK409" s="147">
        <v>35</v>
      </c>
      <c r="AL409" s="147">
        <f t="shared" si="97"/>
        <v>300</v>
      </c>
      <c r="AM409" s="147">
        <f t="shared" si="98"/>
        <v>120000000</v>
      </c>
      <c r="AN409" s="147"/>
    </row>
    <row r="410" spans="17:45">
      <c r="Q410" s="97" t="s">
        <v>5563</v>
      </c>
      <c r="R410" s="93">
        <v>10998285</v>
      </c>
      <c r="T410" s="19" t="s">
        <v>5734</v>
      </c>
      <c r="U410" s="19">
        <v>1223</v>
      </c>
      <c r="V410" s="115">
        <v>2345.4686710000001</v>
      </c>
      <c r="W410" s="115">
        <f t="shared" si="94"/>
        <v>2868508.1846330003</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5564</v>
      </c>
      <c r="R411" s="93">
        <v>983018.96187300002</v>
      </c>
      <c r="T411" s="19" t="s">
        <v>5735</v>
      </c>
      <c r="U411" s="19">
        <v>7804</v>
      </c>
      <c r="V411" s="115">
        <v>2236.0831640000001</v>
      </c>
      <c r="W411" s="115">
        <f t="shared" si="94"/>
        <v>17450393.011856001</v>
      </c>
      <c r="X411" s="276" t="s">
        <v>5139</v>
      </c>
      <c r="Y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5566</v>
      </c>
      <c r="R412" s="93">
        <v>17049271.032000002</v>
      </c>
      <c r="T412" s="19" t="s">
        <v>5736</v>
      </c>
      <c r="U412" s="19">
        <v>14589</v>
      </c>
      <c r="V412" s="115">
        <v>2151.5486500000002</v>
      </c>
      <c r="W412" s="115">
        <f t="shared" si="94"/>
        <v>31388943.254850004</v>
      </c>
      <c r="X412" s="276" t="s">
        <v>5139</v>
      </c>
      <c r="Z412" t="s">
        <v>25</v>
      </c>
      <c r="AH412" s="147">
        <v>146</v>
      </c>
      <c r="AI412" s="147" t="s">
        <v>5326</v>
      </c>
      <c r="AJ412" s="186">
        <v>-8644090</v>
      </c>
      <c r="AK412" s="147">
        <v>0</v>
      </c>
      <c r="AL412" s="147">
        <f t="shared" si="99"/>
        <v>246</v>
      </c>
      <c r="AM412" s="147">
        <f t="shared" si="100"/>
        <v>-2126446140</v>
      </c>
      <c r="AN412" s="147" t="s">
        <v>4750</v>
      </c>
    </row>
    <row r="413" spans="17:45">
      <c r="Q413" s="97" t="s">
        <v>5569</v>
      </c>
      <c r="R413" s="93">
        <v>6829998</v>
      </c>
      <c r="T413" s="19" t="s">
        <v>5737</v>
      </c>
      <c r="U413" s="19">
        <v>14741</v>
      </c>
      <c r="V413" s="115">
        <v>2097.0148140000001</v>
      </c>
      <c r="W413" s="115">
        <f t="shared" si="94"/>
        <v>30912095.373174001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4213</v>
      </c>
      <c r="R414" s="93">
        <v>6982608.8207999999</v>
      </c>
      <c r="T414" s="19" t="s">
        <v>5739</v>
      </c>
      <c r="U414" s="19">
        <v>10237</v>
      </c>
      <c r="V414" s="115">
        <v>1914.9092619999999</v>
      </c>
      <c r="W414" s="115">
        <f t="shared" si="94"/>
        <v>19602926.115093999</v>
      </c>
      <c r="X414" s="276" t="s">
        <v>5139</v>
      </c>
      <c r="AH414" s="20">
        <v>148</v>
      </c>
      <c r="AI414" s="20" t="s">
        <v>5455</v>
      </c>
      <c r="AJ414" s="115">
        <v>35000000</v>
      </c>
      <c r="AK414" s="20">
        <v>15</v>
      </c>
      <c r="AL414" s="20">
        <f t="shared" si="99"/>
        <v>245</v>
      </c>
      <c r="AM414" s="20">
        <f t="shared" si="100"/>
        <v>8575000000</v>
      </c>
      <c r="AN414" s="20"/>
    </row>
    <row r="415" spans="17:45">
      <c r="Q415" s="97" t="s">
        <v>5591</v>
      </c>
      <c r="R415" s="93">
        <v>7510131.0216000006</v>
      </c>
      <c r="T415" s="19" t="s">
        <v>5743</v>
      </c>
      <c r="U415" s="19">
        <v>19211</v>
      </c>
      <c r="V415" s="115">
        <v>1793.6906100000001</v>
      </c>
      <c r="W415" s="115">
        <f t="shared" si="94"/>
        <v>34458590.308710001</v>
      </c>
      <c r="X415" s="276" t="s">
        <v>5139</v>
      </c>
      <c r="Y415" s="112"/>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5597</v>
      </c>
      <c r="R416" s="93">
        <v>7278025.5327000003</v>
      </c>
      <c r="S416" t="s">
        <v>25</v>
      </c>
      <c r="T416" s="19" t="s">
        <v>5746</v>
      </c>
      <c r="U416" s="19">
        <v>11599</v>
      </c>
      <c r="V416" s="115">
        <v>1870.667144</v>
      </c>
      <c r="W416" s="115">
        <f t="shared" si="94"/>
        <v>21697868.203256</v>
      </c>
      <c r="X416" s="276" t="s">
        <v>5139</v>
      </c>
      <c r="Y416" t="s">
        <v>25</v>
      </c>
      <c r="Z416" t="s">
        <v>25</v>
      </c>
      <c r="AH416" s="20">
        <v>150</v>
      </c>
      <c r="AI416" s="20" t="s">
        <v>5478</v>
      </c>
      <c r="AJ416" s="115">
        <v>1600000</v>
      </c>
      <c r="AK416" s="20">
        <v>1</v>
      </c>
      <c r="AL416" s="20">
        <f t="shared" si="101"/>
        <v>230</v>
      </c>
      <c r="AM416" s="20">
        <f t="shared" si="102"/>
        <v>368000000</v>
      </c>
      <c r="AN416" s="20"/>
    </row>
    <row r="417" spans="17:45">
      <c r="Q417" s="97" t="s">
        <v>5606</v>
      </c>
      <c r="R417" s="93">
        <v>195059.35799999998</v>
      </c>
      <c r="T417" s="19" t="s">
        <v>5748</v>
      </c>
      <c r="U417" s="19">
        <v>14098</v>
      </c>
      <c r="V417" s="115">
        <v>1797.423695</v>
      </c>
      <c r="W417" s="115">
        <f t="shared" si="94"/>
        <v>25340079.252110001</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5611</v>
      </c>
      <c r="R418" s="93">
        <v>862577.83200000005</v>
      </c>
      <c r="T418" s="19" t="s">
        <v>5749</v>
      </c>
      <c r="U418" s="19">
        <v>8497</v>
      </c>
      <c r="V418" s="115">
        <v>1739.5531579999999</v>
      </c>
      <c r="W418" s="115">
        <f t="shared" si="94"/>
        <v>14780983.183526</v>
      </c>
      <c r="X418" s="276" t="s">
        <v>5139</v>
      </c>
      <c r="Z418" t="s">
        <v>25</v>
      </c>
      <c r="AH418" s="20">
        <v>152</v>
      </c>
      <c r="AI418" s="20" t="s">
        <v>5481</v>
      </c>
      <c r="AJ418" s="115">
        <v>600000</v>
      </c>
      <c r="AK418" s="20">
        <v>9</v>
      </c>
      <c r="AL418" s="20">
        <f>AK418+AL419</f>
        <v>229</v>
      </c>
      <c r="AM418" s="20">
        <f t="shared" si="102"/>
        <v>137400000</v>
      </c>
      <c r="AN418" s="20" t="s">
        <v>5483</v>
      </c>
    </row>
    <row r="419" spans="17:45" ht="30">
      <c r="Q419" s="97" t="s">
        <v>5613</v>
      </c>
      <c r="R419" s="93">
        <v>920308.446</v>
      </c>
      <c r="T419" s="19" t="s">
        <v>5752</v>
      </c>
      <c r="U419" s="19">
        <v>163820</v>
      </c>
      <c r="V419" s="115">
        <v>1588.685326</v>
      </c>
      <c r="W419" s="115">
        <f t="shared" si="94"/>
        <v>260258430.10532001</v>
      </c>
      <c r="X419" s="276" t="s">
        <v>5756</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5614</v>
      </c>
      <c r="R420" s="93">
        <v>4635809.8416840006</v>
      </c>
      <c r="S420" t="s">
        <v>25</v>
      </c>
      <c r="T420" s="19" t="s">
        <v>5752</v>
      </c>
      <c r="U420" s="19">
        <v>11207</v>
      </c>
      <c r="V420" s="115">
        <v>1588.685326</v>
      </c>
      <c r="W420" s="115">
        <f t="shared" si="94"/>
        <v>17804396.448481999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5616</v>
      </c>
      <c r="R421" s="93">
        <v>288892.40000000002</v>
      </c>
      <c r="T421" s="19" t="s">
        <v>5757</v>
      </c>
      <c r="U421" s="19">
        <v>7198</v>
      </c>
      <c r="V421" s="115">
        <v>1602.9918909999999</v>
      </c>
      <c r="W421" s="115">
        <f t="shared" si="94"/>
        <v>11538335.631417999</v>
      </c>
      <c r="X421" s="276" t="s">
        <v>5139</v>
      </c>
      <c r="AH421" s="147">
        <v>155</v>
      </c>
      <c r="AI421" s="147" t="s">
        <v>5544</v>
      </c>
      <c r="AJ421" s="186">
        <v>-1812800</v>
      </c>
      <c r="AK421" s="147">
        <v>2</v>
      </c>
      <c r="AL421" s="147">
        <f>AK421+AL422</f>
        <v>197</v>
      </c>
      <c r="AM421" s="147">
        <f t="shared" si="104"/>
        <v>-357121600</v>
      </c>
      <c r="AN421" s="147" t="s">
        <v>4879</v>
      </c>
    </row>
    <row r="422" spans="17:45">
      <c r="Q422" s="97" t="s">
        <v>5645</v>
      </c>
      <c r="R422" s="93">
        <v>58508002.009000003</v>
      </c>
      <c r="T422" s="19" t="s">
        <v>5758</v>
      </c>
      <c r="U422" s="19">
        <v>7804</v>
      </c>
      <c r="V422" s="115">
        <v>1592.7111440000001</v>
      </c>
      <c r="W422" s="115">
        <f t="shared" si="94"/>
        <v>12429517.767776001</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5646</v>
      </c>
      <c r="R423" s="93">
        <v>2245515.5410799999</v>
      </c>
      <c r="T423" s="19" t="s">
        <v>5770</v>
      </c>
      <c r="U423" s="19">
        <v>2827</v>
      </c>
      <c r="V423" s="115">
        <v>1779.6874809999999</v>
      </c>
      <c r="W423" s="115">
        <f t="shared" si="94"/>
        <v>5031176.5087869996</v>
      </c>
      <c r="X423" s="276" t="s">
        <v>5139</v>
      </c>
      <c r="AH423" s="147">
        <v>157</v>
      </c>
      <c r="AI423" s="147" t="s">
        <v>5548</v>
      </c>
      <c r="AJ423" s="186">
        <v>60000</v>
      </c>
      <c r="AK423" s="147">
        <v>5</v>
      </c>
      <c r="AL423" s="147">
        <f t="shared" si="105"/>
        <v>195</v>
      </c>
      <c r="AM423" s="147">
        <f t="shared" si="106"/>
        <v>11700000</v>
      </c>
      <c r="AN423" s="147"/>
    </row>
    <row r="424" spans="17:45">
      <c r="Q424" s="97" t="s">
        <v>5648</v>
      </c>
      <c r="R424" s="93">
        <v>18404699.3442</v>
      </c>
      <c r="T424" s="19" t="s">
        <v>5773</v>
      </c>
      <c r="U424" s="19">
        <v>3385</v>
      </c>
      <c r="V424" s="115">
        <v>2015.5993820000001</v>
      </c>
      <c r="W424" s="115">
        <f t="shared" si="94"/>
        <v>6822803.9080700008</v>
      </c>
      <c r="X424" s="276" t="s">
        <v>5139</v>
      </c>
      <c r="Y424" t="s">
        <v>25</v>
      </c>
      <c r="AH424" s="20">
        <v>158</v>
      </c>
      <c r="AI424" s="20" t="s">
        <v>5556</v>
      </c>
      <c r="AJ424" s="115">
        <v>50000000</v>
      </c>
      <c r="AK424" s="20">
        <v>29</v>
      </c>
      <c r="AL424" s="20">
        <f t="shared" si="105"/>
        <v>190</v>
      </c>
      <c r="AM424" s="20">
        <f t="shared" si="106"/>
        <v>9500000000</v>
      </c>
      <c r="AN424" s="20" t="s">
        <v>5558</v>
      </c>
    </row>
    <row r="425" spans="17:45">
      <c r="Q425" s="97" t="s">
        <v>5648</v>
      </c>
      <c r="R425" s="93">
        <v>48684800</v>
      </c>
      <c r="T425" s="19" t="s">
        <v>5777</v>
      </c>
      <c r="U425" s="19">
        <v>158</v>
      </c>
      <c r="V425" s="115">
        <v>2094.2388179999998</v>
      </c>
      <c r="W425" s="115">
        <f t="shared" si="94"/>
        <v>330889.73324399994</v>
      </c>
      <c r="X425" s="276" t="s">
        <v>5139</v>
      </c>
      <c r="AH425" s="20">
        <v>159</v>
      </c>
      <c r="AI425" s="20" t="s">
        <v>5616</v>
      </c>
      <c r="AJ425" s="115">
        <v>100000</v>
      </c>
      <c r="AK425" s="20">
        <v>1</v>
      </c>
      <c r="AL425" s="20">
        <f t="shared" si="105"/>
        <v>161</v>
      </c>
      <c r="AM425" s="20">
        <f t="shared" si="106"/>
        <v>16100000</v>
      </c>
      <c r="AN425" s="20"/>
    </row>
    <row r="426" spans="17:45">
      <c r="Q426" s="97" t="s">
        <v>5651</v>
      </c>
      <c r="R426" s="93">
        <v>2264658.5922190002</v>
      </c>
      <c r="T426" s="19" t="s">
        <v>965</v>
      </c>
      <c r="U426" s="19">
        <v>5033</v>
      </c>
      <c r="V426" s="115">
        <v>2229.4976999999999</v>
      </c>
      <c r="W426" s="115">
        <f t="shared" si="94"/>
        <v>11221061.924099999</v>
      </c>
      <c r="X426" s="276" t="s">
        <v>5783</v>
      </c>
      <c r="Y426" t="s">
        <v>25</v>
      </c>
      <c r="AH426" s="147">
        <v>160</v>
      </c>
      <c r="AI426" s="147" t="s">
        <v>5605</v>
      </c>
      <c r="AJ426" s="186">
        <v>150000</v>
      </c>
      <c r="AK426" s="147">
        <v>0</v>
      </c>
      <c r="AL426" s="147">
        <f t="shared" si="105"/>
        <v>160</v>
      </c>
      <c r="AM426" s="147">
        <f t="shared" si="106"/>
        <v>24000000</v>
      </c>
      <c r="AN426" s="147"/>
    </row>
    <row r="427" spans="17:45">
      <c r="Q427" s="97" t="s">
        <v>5653</v>
      </c>
      <c r="R427" s="93">
        <v>22877413.789960001</v>
      </c>
      <c r="T427" s="19" t="s">
        <v>5787</v>
      </c>
      <c r="U427" s="19">
        <v>2870</v>
      </c>
      <c r="V427" s="115">
        <v>2303.2467459999998</v>
      </c>
      <c r="W427" s="115">
        <f t="shared" si="94"/>
        <v>6610318.1610199995</v>
      </c>
      <c r="X427" s="276" t="s">
        <v>5139</v>
      </c>
      <c r="AH427" s="20">
        <v>161</v>
      </c>
      <c r="AI427" s="20" t="s">
        <v>5605</v>
      </c>
      <c r="AJ427" s="115">
        <v>-683050</v>
      </c>
      <c r="AK427" s="20">
        <v>7</v>
      </c>
      <c r="AL427" s="20">
        <f t="shared" si="105"/>
        <v>160</v>
      </c>
      <c r="AM427" s="20">
        <f t="shared" si="106"/>
        <v>-109288000</v>
      </c>
      <c r="AN427" s="20" t="s">
        <v>5619</v>
      </c>
    </row>
    <row r="428" spans="17:45">
      <c r="Q428" s="97" t="s">
        <v>5656</v>
      </c>
      <c r="R428" s="93">
        <v>2362539.4373280001</v>
      </c>
      <c r="T428" s="19" t="s">
        <v>5788</v>
      </c>
      <c r="U428" s="19">
        <v>307</v>
      </c>
      <c r="V428" s="115">
        <v>2315.0266360000001</v>
      </c>
      <c r="W428" s="115">
        <f t="shared" si="94"/>
        <v>710713.17725199996</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5657</v>
      </c>
      <c r="R429" s="93">
        <v>16042676.656608</v>
      </c>
      <c r="S429" t="s">
        <v>25</v>
      </c>
      <c r="T429" s="19" t="s">
        <v>5790</v>
      </c>
      <c r="U429" s="19">
        <v>35</v>
      </c>
      <c r="V429" s="115">
        <v>2315</v>
      </c>
      <c r="W429" s="115">
        <f t="shared" si="94"/>
        <v>81025</v>
      </c>
      <c r="X429" s="276" t="s">
        <v>5793</v>
      </c>
      <c r="Y429" t="s">
        <v>25</v>
      </c>
      <c r="AH429" s="147">
        <v>163</v>
      </c>
      <c r="AI429" s="147" t="s">
        <v>5632</v>
      </c>
      <c r="AJ429" s="186">
        <v>150000</v>
      </c>
      <c r="AK429" s="147">
        <v>5</v>
      </c>
      <c r="AL429" s="147">
        <f t="shared" si="105"/>
        <v>146</v>
      </c>
      <c r="AM429" s="147">
        <f t="shared" si="106"/>
        <v>21900000</v>
      </c>
      <c r="AN429" s="147"/>
    </row>
    <row r="430" spans="17:45" ht="30">
      <c r="Q430" s="97" t="s">
        <v>5658</v>
      </c>
      <c r="R430" s="93">
        <v>18403291.448284</v>
      </c>
      <c r="T430" s="187" t="s">
        <v>5790</v>
      </c>
      <c r="U430" s="187">
        <v>-8</v>
      </c>
      <c r="V430" s="186">
        <v>2315</v>
      </c>
      <c r="W430" s="186">
        <f t="shared" si="94"/>
        <v>-18520</v>
      </c>
      <c r="X430" s="275" t="s">
        <v>5685</v>
      </c>
      <c r="Z430" t="s">
        <v>25</v>
      </c>
      <c r="AH430" s="20">
        <v>164</v>
      </c>
      <c r="AI430" s="20" t="s">
        <v>5636</v>
      </c>
      <c r="AJ430" s="115">
        <v>320000</v>
      </c>
      <c r="AK430" s="20">
        <v>2</v>
      </c>
      <c r="AL430" s="20">
        <f t="shared" si="105"/>
        <v>141</v>
      </c>
      <c r="AM430" s="20">
        <f t="shared" si="106"/>
        <v>45120000</v>
      </c>
      <c r="AN430" s="20"/>
    </row>
    <row r="431" spans="17:45">
      <c r="Q431" s="97" t="s">
        <v>5661</v>
      </c>
      <c r="R431" s="93">
        <v>10561447.246918</v>
      </c>
      <c r="T431" s="19" t="s">
        <v>5794</v>
      </c>
      <c r="U431" s="19">
        <v>94</v>
      </c>
      <c r="V431" s="115">
        <v>2337.1980119999998</v>
      </c>
      <c r="W431" s="115">
        <f t="shared" si="94"/>
        <v>219696.613128</v>
      </c>
      <c r="X431" s="276" t="s">
        <v>5139</v>
      </c>
      <c r="Z431" t="s">
        <v>25</v>
      </c>
      <c r="AH431" s="20">
        <v>165</v>
      </c>
      <c r="AI431" s="20" t="s">
        <v>5637</v>
      </c>
      <c r="AJ431" s="115">
        <v>200000</v>
      </c>
      <c r="AK431" s="20">
        <v>29</v>
      </c>
      <c r="AL431" s="20">
        <f t="shared" si="105"/>
        <v>139</v>
      </c>
      <c r="AM431" s="20">
        <f t="shared" si="106"/>
        <v>27800000</v>
      </c>
      <c r="AN431" s="20"/>
    </row>
    <row r="432" spans="17:45">
      <c r="Q432" s="97" t="s">
        <v>5662</v>
      </c>
      <c r="R432" s="93">
        <v>1226811.9176660001</v>
      </c>
      <c r="T432" s="19" t="s">
        <v>5795</v>
      </c>
      <c r="U432" s="19">
        <v>2534</v>
      </c>
      <c r="V432" s="115">
        <v>2381.7965300000001</v>
      </c>
      <c r="W432" s="115">
        <f t="shared" si="94"/>
        <v>6035472.4070199998</v>
      </c>
      <c r="X432" s="276" t="s">
        <v>5139</v>
      </c>
      <c r="Z432" t="s">
        <v>25</v>
      </c>
      <c r="AH432" s="20">
        <v>166</v>
      </c>
      <c r="AI432" s="20" t="s">
        <v>5672</v>
      </c>
      <c r="AJ432" s="115">
        <v>4200000</v>
      </c>
      <c r="AK432" s="20">
        <v>0</v>
      </c>
      <c r="AL432" s="20">
        <f t="shared" si="105"/>
        <v>110</v>
      </c>
      <c r="AM432" s="20">
        <f t="shared" si="106"/>
        <v>462000000</v>
      </c>
      <c r="AN432" s="20"/>
    </row>
    <row r="433" spans="17:45">
      <c r="Q433" s="97" t="s">
        <v>5663</v>
      </c>
      <c r="R433" s="93">
        <v>39373959.190266006</v>
      </c>
      <c r="T433" s="19" t="s">
        <v>5797</v>
      </c>
      <c r="U433" s="19">
        <v>424</v>
      </c>
      <c r="V433" s="115">
        <v>2321.9017680000002</v>
      </c>
      <c r="W433" s="115">
        <f t="shared" si="94"/>
        <v>984486.34963200008</v>
      </c>
      <c r="X433" s="276" t="s">
        <v>5139</v>
      </c>
      <c r="Y433" t="s">
        <v>25</v>
      </c>
      <c r="Z433" t="s">
        <v>25</v>
      </c>
      <c r="AH433" s="147">
        <v>167</v>
      </c>
      <c r="AI433" s="147" t="s">
        <v>5672</v>
      </c>
      <c r="AJ433" s="186">
        <v>3300000</v>
      </c>
      <c r="AK433" s="147">
        <v>11</v>
      </c>
      <c r="AL433" s="147">
        <f t="shared" si="105"/>
        <v>110</v>
      </c>
      <c r="AM433" s="147">
        <f t="shared" si="106"/>
        <v>363000000</v>
      </c>
      <c r="AN433" s="147"/>
    </row>
    <row r="434" spans="17:45" ht="30">
      <c r="Q434" s="97" t="s">
        <v>5668</v>
      </c>
      <c r="R434" s="93">
        <v>27703487.063980002</v>
      </c>
      <c r="S434" t="s">
        <v>25</v>
      </c>
      <c r="T434" s="187" t="s">
        <v>5799</v>
      </c>
      <c r="U434" s="187">
        <v>-31</v>
      </c>
      <c r="V434" s="186">
        <v>2221.2123710000001</v>
      </c>
      <c r="W434" s="186">
        <f t="shared" si="94"/>
        <v>-68857.583501000001</v>
      </c>
      <c r="X434" s="275" t="s">
        <v>5685</v>
      </c>
      <c r="AH434" s="147">
        <v>168</v>
      </c>
      <c r="AI434" s="147" t="s">
        <v>5703</v>
      </c>
      <c r="AJ434" s="186">
        <v>-1500000</v>
      </c>
      <c r="AK434" s="147">
        <v>42</v>
      </c>
      <c r="AL434" s="147">
        <f t="shared" si="105"/>
        <v>99</v>
      </c>
      <c r="AM434" s="147">
        <f t="shared" si="106"/>
        <v>-148500000</v>
      </c>
      <c r="AN434" s="147"/>
    </row>
    <row r="435" spans="17:45">
      <c r="Q435" s="97" t="s">
        <v>5669</v>
      </c>
      <c r="R435" s="93">
        <v>8738896.6890719999</v>
      </c>
      <c r="T435" s="187" t="s">
        <v>5799</v>
      </c>
      <c r="U435" s="187">
        <v>-32</v>
      </c>
      <c r="V435" s="186">
        <v>2221.2123710000001</v>
      </c>
      <c r="W435" s="186">
        <f t="shared" si="94"/>
        <v>-71078.795872000002</v>
      </c>
      <c r="X435" s="275" t="s">
        <v>5804</v>
      </c>
      <c r="AH435" s="20">
        <v>169</v>
      </c>
      <c r="AI435" s="20" t="s">
        <v>5752</v>
      </c>
      <c r="AJ435" s="115">
        <v>260000</v>
      </c>
      <c r="AK435" s="20">
        <v>22</v>
      </c>
      <c r="AL435" s="20">
        <f t="shared" si="105"/>
        <v>57</v>
      </c>
      <c r="AM435" s="20">
        <f t="shared" si="106"/>
        <v>14820000</v>
      </c>
      <c r="AN435" s="20"/>
      <c r="AQ435" t="s">
        <v>25</v>
      </c>
    </row>
    <row r="436" spans="17:45">
      <c r="Q436" s="97" t="s">
        <v>4186</v>
      </c>
      <c r="R436" s="93">
        <v>348201.66738</v>
      </c>
      <c r="T436" s="19" t="s">
        <v>5799</v>
      </c>
      <c r="U436" s="19">
        <v>157</v>
      </c>
      <c r="V436" s="115">
        <v>2221.2123710000001</v>
      </c>
      <c r="W436" s="115">
        <f t="shared" si="94"/>
        <v>348730.34224700002</v>
      </c>
      <c r="X436" s="276" t="s">
        <v>5805</v>
      </c>
      <c r="AA436" t="s">
        <v>25</v>
      </c>
      <c r="AH436" s="20">
        <v>170</v>
      </c>
      <c r="AI436" s="20" t="s">
        <v>5788</v>
      </c>
      <c r="AJ436" s="115">
        <v>20000</v>
      </c>
      <c r="AK436" s="20">
        <v>0</v>
      </c>
      <c r="AL436" s="20">
        <f t="shared" si="105"/>
        <v>35</v>
      </c>
      <c r="AM436" s="20">
        <f t="shared" si="106"/>
        <v>700000</v>
      </c>
      <c r="AN436" s="20"/>
    </row>
    <row r="437" spans="17:45">
      <c r="Q437" s="97" t="s">
        <v>5671</v>
      </c>
      <c r="R437" s="93">
        <v>4158090.8935679998</v>
      </c>
      <c r="T437" s="19" t="s">
        <v>5799</v>
      </c>
      <c r="U437" s="19">
        <v>965</v>
      </c>
      <c r="V437" s="115">
        <v>2221.2123710000001</v>
      </c>
      <c r="W437" s="115">
        <f t="shared" si="94"/>
        <v>2143469.938015</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110770524.97879399</v>
      </c>
      <c r="T438" s="187" t="s">
        <v>5807</v>
      </c>
      <c r="U438" s="187">
        <v>596</v>
      </c>
      <c r="V438" s="186">
        <v>2180.6765719999999</v>
      </c>
      <c r="W438" s="186">
        <f t="shared" si="94"/>
        <v>1299683.236912</v>
      </c>
      <c r="X438" s="275" t="s">
        <v>1071</v>
      </c>
      <c r="AH438" s="147">
        <v>172</v>
      </c>
      <c r="AI438" s="147" t="s">
        <v>5799</v>
      </c>
      <c r="AJ438" s="186">
        <v>70000</v>
      </c>
      <c r="AK438" s="147">
        <v>0</v>
      </c>
      <c r="AL438" s="147">
        <f t="shared" si="107"/>
        <v>28</v>
      </c>
      <c r="AM438" s="147">
        <f t="shared" si="108"/>
        <v>1960000</v>
      </c>
      <c r="AN438" s="147"/>
    </row>
    <row r="439" spans="17:45">
      <c r="Q439" s="97" t="s">
        <v>5672</v>
      </c>
      <c r="R439" s="93">
        <v>17900000</v>
      </c>
      <c r="T439" s="19" t="s">
        <v>5815</v>
      </c>
      <c r="U439" s="19">
        <v>1355</v>
      </c>
      <c r="V439" s="115">
        <v>2277.0926330000002</v>
      </c>
      <c r="W439" s="115">
        <f t="shared" si="94"/>
        <v>3085460.5177150001</v>
      </c>
      <c r="X439" s="276" t="s">
        <v>5139</v>
      </c>
      <c r="AH439" s="20">
        <v>173</v>
      </c>
      <c r="AI439" s="20" t="s">
        <v>5799</v>
      </c>
      <c r="AJ439" s="115">
        <v>70000</v>
      </c>
      <c r="AK439" s="20">
        <v>1</v>
      </c>
      <c r="AL439" s="20">
        <f t="shared" si="107"/>
        <v>28</v>
      </c>
      <c r="AM439" s="20">
        <f t="shared" si="108"/>
        <v>1960000</v>
      </c>
      <c r="AN439" s="20"/>
      <c r="AS439" t="s">
        <v>25</v>
      </c>
    </row>
    <row r="440" spans="17:45">
      <c r="Q440" s="97" t="s">
        <v>5676</v>
      </c>
      <c r="R440" s="93">
        <v>12114824.927374</v>
      </c>
      <c r="T440" s="19" t="s">
        <v>5817</v>
      </c>
      <c r="U440" s="19">
        <v>3742</v>
      </c>
      <c r="V440" s="115">
        <v>2207.7650429999999</v>
      </c>
      <c r="W440" s="115">
        <f t="shared" si="94"/>
        <v>8261456.790906</v>
      </c>
      <c r="X440" s="276" t="s">
        <v>5139</v>
      </c>
      <c r="Y440" t="s">
        <v>25</v>
      </c>
      <c r="AH440" s="20">
        <v>174</v>
      </c>
      <c r="AI440" s="20" t="s">
        <v>5807</v>
      </c>
      <c r="AJ440" s="115">
        <v>330000</v>
      </c>
      <c r="AK440" s="20">
        <v>0</v>
      </c>
      <c r="AL440" s="20">
        <f t="shared" si="107"/>
        <v>27</v>
      </c>
      <c r="AM440" s="20">
        <f t="shared" si="108"/>
        <v>8910000</v>
      </c>
      <c r="AN440" s="20"/>
    </row>
    <row r="441" spans="17:45">
      <c r="Q441" s="97" t="s">
        <v>5693</v>
      </c>
      <c r="R441" s="93">
        <v>6684147.0064600008</v>
      </c>
      <c r="T441" s="19" t="s">
        <v>5819</v>
      </c>
      <c r="U441" s="19">
        <v>3216</v>
      </c>
      <c r="V441" s="115">
        <v>2043.648557</v>
      </c>
      <c r="W441" s="115">
        <f t="shared" si="94"/>
        <v>6572373.7593120001</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5697</v>
      </c>
      <c r="R442" s="93">
        <v>1826535.2307560001</v>
      </c>
      <c r="T442" s="187" t="s">
        <v>5823</v>
      </c>
      <c r="U442" s="187">
        <v>42393</v>
      </c>
      <c r="V442" s="186">
        <v>2124.4852740000001</v>
      </c>
      <c r="W442" s="186">
        <f t="shared" si="94"/>
        <v>90063304.22068201</v>
      </c>
      <c r="X442" s="275" t="s">
        <v>5824</v>
      </c>
      <c r="AA442" t="s">
        <v>25</v>
      </c>
      <c r="AH442" s="147">
        <v>176</v>
      </c>
      <c r="AI442" s="147" t="s">
        <v>5823</v>
      </c>
      <c r="AJ442" s="186">
        <v>90000000</v>
      </c>
      <c r="AK442" s="147">
        <v>16</v>
      </c>
      <c r="AL442" s="147">
        <f t="shared" si="109"/>
        <v>17</v>
      </c>
      <c r="AM442" s="147">
        <f t="shared" si="110"/>
        <v>1530000000</v>
      </c>
      <c r="AN442" s="147"/>
    </row>
    <row r="443" spans="17:45">
      <c r="Q443" s="97" t="s">
        <v>5701</v>
      </c>
      <c r="R443" s="93">
        <v>3577366.94</v>
      </c>
      <c r="T443" s="19" t="s">
        <v>5825</v>
      </c>
      <c r="U443" s="19">
        <v>1307</v>
      </c>
      <c r="V443" s="115">
        <v>2213.652313</v>
      </c>
      <c r="W443" s="115">
        <f t="shared" si="94"/>
        <v>2893243.5730909999</v>
      </c>
      <c r="X443" s="276" t="s">
        <v>5139</v>
      </c>
      <c r="Y443" t="s">
        <v>25</v>
      </c>
      <c r="AH443" s="147">
        <v>177</v>
      </c>
      <c r="AI443" s="147" t="s">
        <v>5857</v>
      </c>
      <c r="AJ443" s="186">
        <v>-15000000</v>
      </c>
      <c r="AK443" s="147">
        <v>1</v>
      </c>
      <c r="AL443" s="147">
        <f t="shared" si="109"/>
        <v>1</v>
      </c>
      <c r="AM443" s="147">
        <f t="shared" si="110"/>
        <v>-15000000</v>
      </c>
      <c r="AN443" s="147" t="s">
        <v>5858</v>
      </c>
    </row>
    <row r="444" spans="17:45">
      <c r="Q444" s="97" t="s">
        <v>5703</v>
      </c>
      <c r="R444" s="93">
        <v>21239029.173567999</v>
      </c>
      <c r="T444" s="19" t="s">
        <v>5828</v>
      </c>
      <c r="U444" s="19">
        <v>44079</v>
      </c>
      <c r="V444" s="115">
        <v>2155.0411519999998</v>
      </c>
      <c r="W444" s="115">
        <f t="shared" si="94"/>
        <v>94992058.939007998</v>
      </c>
      <c r="X444" s="276" t="s">
        <v>5139</v>
      </c>
      <c r="Y444" t="s">
        <v>25</v>
      </c>
      <c r="AH444" s="20"/>
      <c r="AI444" s="20"/>
      <c r="AJ444" s="115"/>
      <c r="AK444" s="20"/>
      <c r="AL444" s="20">
        <f t="shared" si="109"/>
        <v>0</v>
      </c>
      <c r="AM444" s="20">
        <f t="shared" si="110"/>
        <v>0</v>
      </c>
      <c r="AN444" s="20"/>
      <c r="AR444" t="s">
        <v>25</v>
      </c>
    </row>
    <row r="445" spans="17:45">
      <c r="Q445" s="97" t="s">
        <v>5708</v>
      </c>
      <c r="R445" s="93">
        <v>242957252.40163299</v>
      </c>
      <c r="T445" s="19" t="s">
        <v>5835</v>
      </c>
      <c r="U445" s="19">
        <v>131</v>
      </c>
      <c r="V445" s="115">
        <v>2099.4040150000001</v>
      </c>
      <c r="W445" s="115">
        <f t="shared" si="94"/>
        <v>275021.925965</v>
      </c>
      <c r="X445" s="276" t="s">
        <v>5139</v>
      </c>
      <c r="Y445" t="s">
        <v>25</v>
      </c>
      <c r="AH445" s="20"/>
      <c r="AI445" s="20"/>
      <c r="AJ445" s="115"/>
      <c r="AK445" s="20"/>
      <c r="AL445" s="20">
        <f t="shared" si="109"/>
        <v>0</v>
      </c>
      <c r="AM445" s="20">
        <f t="shared" si="110"/>
        <v>0</v>
      </c>
      <c r="AN445" s="20"/>
    </row>
    <row r="446" spans="17:45">
      <c r="Q446" s="97" t="s">
        <v>5713</v>
      </c>
      <c r="R446" s="93">
        <v>7357181.2750800001</v>
      </c>
      <c r="T446" s="19" t="s">
        <v>5843</v>
      </c>
      <c r="U446" s="19">
        <v>162</v>
      </c>
      <c r="V446" s="115">
        <v>2021.3081500000001</v>
      </c>
      <c r="W446" s="115">
        <f t="shared" si="94"/>
        <v>327451.9203</v>
      </c>
      <c r="X446" s="276" t="s">
        <v>5139</v>
      </c>
      <c r="AH446" s="20"/>
      <c r="AI446" s="20"/>
      <c r="AJ446" s="115"/>
      <c r="AK446" s="20"/>
      <c r="AL446" s="20">
        <f t="shared" si="109"/>
        <v>0</v>
      </c>
      <c r="AM446" s="20">
        <f t="shared" si="110"/>
        <v>0</v>
      </c>
      <c r="AN446" s="20"/>
      <c r="AQ446" t="s">
        <v>25</v>
      </c>
    </row>
    <row r="447" spans="17:45">
      <c r="Q447" s="97" t="s">
        <v>5714</v>
      </c>
      <c r="R447" s="93">
        <v>14951411.942400001</v>
      </c>
      <c r="T447" s="19" t="s">
        <v>5860</v>
      </c>
      <c r="U447" s="19">
        <v>131</v>
      </c>
      <c r="V447" s="115">
        <v>1985.358328</v>
      </c>
      <c r="W447" s="115">
        <f t="shared" si="94"/>
        <v>260081.94096800001</v>
      </c>
      <c r="X447" s="276" t="s">
        <v>5139</v>
      </c>
      <c r="Z447" t="s">
        <v>25</v>
      </c>
      <c r="AH447" s="97"/>
      <c r="AI447" s="97"/>
      <c r="AJ447" s="115"/>
      <c r="AK447" s="97"/>
      <c r="AL447" s="20">
        <f t="shared" si="109"/>
        <v>0</v>
      </c>
      <c r="AM447" s="20">
        <f t="shared" si="110"/>
        <v>0</v>
      </c>
      <c r="AN447" s="20"/>
    </row>
    <row r="448" spans="17:45">
      <c r="Q448" s="97" t="s">
        <v>5718</v>
      </c>
      <c r="R448" s="93">
        <v>47928209.377011999</v>
      </c>
      <c r="T448" s="19" t="s">
        <v>5874</v>
      </c>
      <c r="U448" s="19">
        <v>1449</v>
      </c>
      <c r="V448" s="115">
        <v>2007.787806</v>
      </c>
      <c r="W448" s="115">
        <f t="shared" si="94"/>
        <v>2909284.5308940001</v>
      </c>
      <c r="X448" s="276" t="s">
        <v>5139</v>
      </c>
      <c r="Z448" t="s">
        <v>25</v>
      </c>
      <c r="AH448" s="97"/>
      <c r="AI448" s="97"/>
      <c r="AJ448" s="115"/>
      <c r="AK448" s="97"/>
      <c r="AL448" s="20">
        <f t="shared" si="107"/>
        <v>0</v>
      </c>
      <c r="AM448" s="20">
        <f t="shared" si="108"/>
        <v>0</v>
      </c>
      <c r="AN448" s="97"/>
    </row>
    <row r="449" spans="17:44">
      <c r="Q449" s="97" t="s">
        <v>5720</v>
      </c>
      <c r="R449" s="93">
        <v>2281595.69937</v>
      </c>
      <c r="T449" s="19" t="s">
        <v>5878</v>
      </c>
      <c r="U449" s="19">
        <v>19028</v>
      </c>
      <c r="V449" s="115">
        <v>1982.5102529999999</v>
      </c>
      <c r="W449" s="115">
        <f t="shared" si="94"/>
        <v>37723205.094084002</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5722</v>
      </c>
      <c r="R450" s="93">
        <v>2964916.035069</v>
      </c>
      <c r="T450" s="19" t="s">
        <v>5879</v>
      </c>
      <c r="U450" s="19">
        <v>848</v>
      </c>
      <c r="V450" s="115">
        <v>1768.97966</v>
      </c>
      <c r="W450" s="115">
        <f t="shared" si="94"/>
        <v>1500094.75168</v>
      </c>
      <c r="X450" s="276" t="s">
        <v>5139</v>
      </c>
      <c r="Z450" t="s">
        <v>25</v>
      </c>
      <c r="AJ450" t="s">
        <v>4043</v>
      </c>
      <c r="AM450" t="s">
        <v>284</v>
      </c>
      <c r="AN450" t="s">
        <v>928</v>
      </c>
    </row>
    <row r="451" spans="17:44">
      <c r="Q451" s="97" t="s">
        <v>5723</v>
      </c>
      <c r="R451" s="93">
        <v>6460549.4269619994</v>
      </c>
      <c r="T451" s="19" t="s">
        <v>5880</v>
      </c>
      <c r="U451" s="19">
        <v>3824</v>
      </c>
      <c r="V451" s="115">
        <v>1890.8547169999999</v>
      </c>
      <c r="W451" s="115">
        <f t="shared" si="94"/>
        <v>7230628.4378079996</v>
      </c>
      <c r="X451" s="276" t="s">
        <v>5139</v>
      </c>
      <c r="Z451" t="s">
        <v>25</v>
      </c>
      <c r="AF451" s="94" t="s">
        <v>25</v>
      </c>
    </row>
    <row r="452" spans="17:44">
      <c r="Q452" s="97" t="s">
        <v>5725</v>
      </c>
      <c r="R452" s="93">
        <v>5212319.8968359996</v>
      </c>
      <c r="T452" s="19" t="s">
        <v>5882</v>
      </c>
      <c r="U452" s="19">
        <v>14010</v>
      </c>
      <c r="V452" s="115">
        <v>2124.7244390000001</v>
      </c>
      <c r="W452" s="115">
        <f t="shared" si="94"/>
        <v>29767389.390390001</v>
      </c>
      <c r="X452" s="276" t="s">
        <v>5139</v>
      </c>
      <c r="Z452" t="s">
        <v>25</v>
      </c>
      <c r="AI452" t="s">
        <v>4045</v>
      </c>
      <c r="AJ452" s="112">
        <f>AJ449+AN449</f>
        <v>353465901.98925507</v>
      </c>
    </row>
    <row r="453" spans="17:44">
      <c r="Q453" s="97" t="s">
        <v>5728</v>
      </c>
      <c r="R453" s="93">
        <v>4524496.4792809999</v>
      </c>
      <c r="T453" s="19" t="s">
        <v>5883</v>
      </c>
      <c r="U453" s="19">
        <v>73</v>
      </c>
      <c r="V453" s="115">
        <v>2076.1678900000002</v>
      </c>
      <c r="W453" s="115">
        <f t="shared" si="94"/>
        <v>151560.25597</v>
      </c>
      <c r="X453" s="276" t="s">
        <v>5139</v>
      </c>
      <c r="AI453" t="s">
        <v>4048</v>
      </c>
      <c r="AJ453" s="112">
        <f>SUM(N20:N28)</f>
        <v>3191680125</v>
      </c>
    </row>
    <row r="454" spans="17:44">
      <c r="Q454" s="97" t="s">
        <v>5730</v>
      </c>
      <c r="R454" s="93">
        <v>22866040.240959998</v>
      </c>
      <c r="T454" s="19" t="s">
        <v>5885</v>
      </c>
      <c r="U454" s="19">
        <v>236</v>
      </c>
      <c r="V454" s="115">
        <v>2039.4867830000001</v>
      </c>
      <c r="W454" s="115">
        <f t="shared" si="94"/>
        <v>481318.88078800001</v>
      </c>
      <c r="X454" s="276" t="s">
        <v>5139</v>
      </c>
      <c r="Z454" t="s">
        <v>25</v>
      </c>
      <c r="AA454" t="s">
        <v>25</v>
      </c>
      <c r="AI454" t="s">
        <v>4119</v>
      </c>
      <c r="AJ454" s="112">
        <f>AJ453-AJ449</f>
        <v>2948879770</v>
      </c>
    </row>
    <row r="455" spans="17:44">
      <c r="Q455" s="97" t="s">
        <v>5732</v>
      </c>
      <c r="R455" s="93">
        <v>15359304.269892</v>
      </c>
      <c r="T455" s="19" t="s">
        <v>5889</v>
      </c>
      <c r="U455" s="19">
        <v>75</v>
      </c>
      <c r="V455" s="115">
        <v>1950.3675760000001</v>
      </c>
      <c r="W455" s="115">
        <f t="shared" si="94"/>
        <v>146277.56820000001</v>
      </c>
      <c r="X455" s="276" t="s">
        <v>5139</v>
      </c>
      <c r="AI455" t="s">
        <v>928</v>
      </c>
      <c r="AJ455" s="112">
        <f>AN449</f>
        <v>110665546.9892551</v>
      </c>
    </row>
    <row r="456" spans="17:44">
      <c r="Q456" s="97" t="s">
        <v>5734</v>
      </c>
      <c r="R456" s="93">
        <v>2868508.1846330003</v>
      </c>
      <c r="T456" s="19"/>
      <c r="U456" s="19"/>
      <c r="V456" s="115"/>
      <c r="W456" s="115"/>
      <c r="X456" s="276"/>
      <c r="Z456" t="s">
        <v>25</v>
      </c>
      <c r="AI456" t="s">
        <v>4049</v>
      </c>
      <c r="AJ456" s="112">
        <f>AJ454-AJ455</f>
        <v>2838214223.010745</v>
      </c>
      <c r="AM456" t="s">
        <v>25</v>
      </c>
      <c r="AN456" t="s">
        <v>25</v>
      </c>
    </row>
    <row r="457" spans="17:44">
      <c r="Q457" s="97" t="s">
        <v>5735</v>
      </c>
      <c r="R457" s="93">
        <v>17450393.011856001</v>
      </c>
      <c r="T457" s="19"/>
      <c r="U457" s="19"/>
      <c r="V457" s="115"/>
      <c r="W457" s="115"/>
      <c r="X457" s="276"/>
      <c r="AA457" t="s">
        <v>25</v>
      </c>
      <c r="AL457" t="s">
        <v>25</v>
      </c>
      <c r="AM457" t="s">
        <v>25</v>
      </c>
      <c r="AN457" t="s">
        <v>25</v>
      </c>
    </row>
    <row r="458" spans="17:44">
      <c r="Q458" s="97" t="s">
        <v>5736</v>
      </c>
      <c r="R458" s="93">
        <v>31388943.254850004</v>
      </c>
      <c r="T458" s="19"/>
      <c r="U458" s="19"/>
      <c r="V458" s="115"/>
      <c r="W458" s="115"/>
      <c r="X458" s="276"/>
    </row>
    <row r="459" spans="17:44">
      <c r="Q459" s="97" t="s">
        <v>5737</v>
      </c>
      <c r="R459" s="93">
        <v>30912095.373174001</v>
      </c>
      <c r="T459" s="19"/>
      <c r="U459" s="19"/>
      <c r="V459" s="115"/>
      <c r="W459" s="115"/>
      <c r="X459" s="276"/>
    </row>
    <row r="460" spans="17:44">
      <c r="Q460" s="97" t="s">
        <v>5739</v>
      </c>
      <c r="R460" s="93">
        <v>19602926.115093999</v>
      </c>
      <c r="T460" s="19"/>
      <c r="U460" s="19"/>
      <c r="V460" s="115"/>
      <c r="W460" s="115"/>
      <c r="X460" s="276"/>
      <c r="Z460" t="s">
        <v>25</v>
      </c>
      <c r="AN460" t="s">
        <v>25</v>
      </c>
    </row>
    <row r="461" spans="17:44">
      <c r="Q461" s="97" t="s">
        <v>5743</v>
      </c>
      <c r="R461" s="93">
        <v>34458590.308710001</v>
      </c>
      <c r="T461" s="97"/>
      <c r="U461" s="166"/>
      <c r="V461" s="111"/>
      <c r="W461" s="115">
        <f t="shared" si="94"/>
        <v>0</v>
      </c>
      <c r="X461" s="97"/>
      <c r="AN461" t="s">
        <v>25</v>
      </c>
    </row>
    <row r="462" spans="17:44">
      <c r="Q462" s="97" t="s">
        <v>5746</v>
      </c>
      <c r="R462" s="93">
        <v>21697868.203256</v>
      </c>
      <c r="T462" s="166"/>
      <c r="U462" s="166">
        <f>SUM(U157:U461)</f>
        <v>4465527</v>
      </c>
      <c r="V462" s="97"/>
      <c r="W462" s="97"/>
      <c r="X462" s="97"/>
    </row>
    <row r="463" spans="17:44">
      <c r="Q463" s="97" t="s">
        <v>5748</v>
      </c>
      <c r="R463" s="93">
        <v>25340079.252110001</v>
      </c>
      <c r="T463" s="97"/>
      <c r="U463" s="97" t="s">
        <v>6</v>
      </c>
      <c r="V463" s="97"/>
      <c r="W463" s="97"/>
      <c r="X463" s="97"/>
    </row>
    <row r="464" spans="17:44">
      <c r="Q464" s="97" t="s">
        <v>5749</v>
      </c>
      <c r="R464" s="93">
        <v>14780983.183526</v>
      </c>
      <c r="T464" s="198" t="s">
        <v>4439</v>
      </c>
    </row>
    <row r="465" spans="17:27">
      <c r="Q465" s="97" t="s">
        <v>5752</v>
      </c>
      <c r="R465" s="93">
        <v>17804396.448481999</v>
      </c>
      <c r="T465" s="197">
        <f>R174/U462</f>
        <v>1858.5234159372455</v>
      </c>
      <c r="X465" t="s">
        <v>25</v>
      </c>
      <c r="AA465" t="s">
        <v>25</v>
      </c>
    </row>
    <row r="466" spans="17:27">
      <c r="Q466" s="97" t="s">
        <v>5752</v>
      </c>
      <c r="R466" s="93">
        <v>260260000</v>
      </c>
      <c r="W466" s="112"/>
      <c r="X466" t="s">
        <v>25</v>
      </c>
    </row>
    <row r="467" spans="17:27">
      <c r="Q467" s="97" t="s">
        <v>5757</v>
      </c>
      <c r="R467" s="93">
        <v>11538335.631417999</v>
      </c>
      <c r="U467" s="94" t="s">
        <v>267</v>
      </c>
      <c r="V467" t="s">
        <v>4440</v>
      </c>
      <c r="X467" t="s">
        <v>25</v>
      </c>
    </row>
    <row r="468" spans="17:27">
      <c r="Q468" s="97" t="s">
        <v>5758</v>
      </c>
      <c r="R468" s="93">
        <v>12429517.767776001</v>
      </c>
      <c r="T468" s="112"/>
      <c r="U468" s="93">
        <v>-146804</v>
      </c>
      <c r="V468">
        <f>U468/T465</f>
        <v>-78.989588584746116</v>
      </c>
      <c r="X468" t="s">
        <v>25</v>
      </c>
    </row>
    <row r="469" spans="17:27">
      <c r="Q469" s="97" t="s">
        <v>5770</v>
      </c>
      <c r="R469" s="93">
        <v>5031176.5087869996</v>
      </c>
      <c r="T469" t="s">
        <v>25</v>
      </c>
      <c r="X469" t="s">
        <v>25</v>
      </c>
    </row>
    <row r="470" spans="17:27">
      <c r="Q470" s="97" t="s">
        <v>5773</v>
      </c>
      <c r="R470" s="93">
        <v>6822803.9080700008</v>
      </c>
      <c r="T470" t="s">
        <v>25</v>
      </c>
      <c r="U470" s="94" t="s">
        <v>25</v>
      </c>
      <c r="V470" s="22"/>
      <c r="W470" s="219"/>
      <c r="X470" s="286" t="s">
        <v>25</v>
      </c>
    </row>
    <row r="471" spans="17:27">
      <c r="Q471" s="97" t="s">
        <v>5777</v>
      </c>
      <c r="R471" s="93">
        <v>330889.73324399994</v>
      </c>
      <c r="V471" t="s">
        <v>25</v>
      </c>
      <c r="X471" t="s">
        <v>25</v>
      </c>
    </row>
    <row r="472" spans="17:27">
      <c r="Q472" s="97" t="s">
        <v>5787</v>
      </c>
      <c r="R472" s="93">
        <v>6610318.1610199995</v>
      </c>
      <c r="W472" s="112"/>
      <c r="X472" t="s">
        <v>25</v>
      </c>
    </row>
    <row r="473" spans="17:27" ht="60">
      <c r="Q473" s="97" t="s">
        <v>5788</v>
      </c>
      <c r="R473" s="93">
        <v>710713.17725199996</v>
      </c>
      <c r="T473" s="22" t="s">
        <v>4425</v>
      </c>
      <c r="V473" s="219"/>
    </row>
    <row r="474" spans="17:27" ht="45">
      <c r="Q474" s="97" t="s">
        <v>5790</v>
      </c>
      <c r="R474" s="93">
        <v>81025</v>
      </c>
      <c r="T474" s="22" t="s">
        <v>4426</v>
      </c>
      <c r="W474" s="286"/>
    </row>
    <row r="475" spans="17:27">
      <c r="Q475" s="97" t="s">
        <v>5794</v>
      </c>
      <c r="R475" s="93">
        <v>219696.613128</v>
      </c>
    </row>
    <row r="476" spans="17:27">
      <c r="Q476" s="97" t="s">
        <v>5795</v>
      </c>
      <c r="R476" s="93">
        <v>6035472.4070199998</v>
      </c>
    </row>
    <row r="477" spans="17:27">
      <c r="Q477" s="97" t="s">
        <v>5797</v>
      </c>
      <c r="R477" s="93">
        <v>984486.34963200008</v>
      </c>
      <c r="T477" s="97" t="s">
        <v>4441</v>
      </c>
      <c r="U477" s="97" t="s">
        <v>4420</v>
      </c>
      <c r="V477" s="97" t="s">
        <v>938</v>
      </c>
      <c r="W477" s="72" t="s">
        <v>5599</v>
      </c>
    </row>
    <row r="478" spans="17:27">
      <c r="Q478" s="97" t="s">
        <v>5799</v>
      </c>
      <c r="R478" s="93">
        <v>2143469.938015</v>
      </c>
      <c r="T478" s="93">
        <f>S239+R298+R497</f>
        <v>2702649383.8301601</v>
      </c>
      <c r="U478" s="93">
        <f>R174</f>
        <v>8299286494</v>
      </c>
      <c r="V478" s="93">
        <f>U478-T478</f>
        <v>5596637110.1698399</v>
      </c>
    </row>
    <row r="479" spans="17:27">
      <c r="Q479" s="97" t="s">
        <v>5815</v>
      </c>
      <c r="R479" s="93">
        <v>3085460.5177150001</v>
      </c>
      <c r="W479" s="94" t="s">
        <v>25</v>
      </c>
    </row>
    <row r="480" spans="17:27">
      <c r="Q480" s="97" t="s">
        <v>5817</v>
      </c>
      <c r="R480" s="93">
        <v>8261456.790906</v>
      </c>
    </row>
    <row r="481" spans="17:24">
      <c r="Q481" s="97" t="s">
        <v>5819</v>
      </c>
      <c r="R481" s="93">
        <v>6572373.7593120001</v>
      </c>
      <c r="T481" s="115"/>
      <c r="V481" s="112">
        <f>(444000000+2500000)*2/3</f>
        <v>297666666.66666669</v>
      </c>
    </row>
    <row r="482" spans="17:24">
      <c r="Q482" s="97" t="s">
        <v>5825</v>
      </c>
      <c r="R482" s="93">
        <v>2893243.5730909999</v>
      </c>
    </row>
    <row r="483" spans="17:24">
      <c r="Q483" s="97" t="s">
        <v>5828</v>
      </c>
      <c r="R483" s="93">
        <v>94992058.939007998</v>
      </c>
      <c r="T483" s="112">
        <f>W309+W310+W312+W313+W315+W316</f>
        <v>-301699041.74755996</v>
      </c>
    </row>
    <row r="484" spans="17:24">
      <c r="Q484" s="97" t="s">
        <v>5835</v>
      </c>
      <c r="R484" s="93">
        <v>275021.925965</v>
      </c>
      <c r="T484" t="s">
        <v>25</v>
      </c>
    </row>
    <row r="485" spans="17:24">
      <c r="Q485" s="97" t="s">
        <v>5843</v>
      </c>
      <c r="R485" s="93">
        <v>327451.9203</v>
      </c>
      <c r="T485" s="112">
        <f>V481+T483</f>
        <v>-4032375.0808932781</v>
      </c>
    </row>
    <row r="486" spans="17:24">
      <c r="Q486" s="97" t="s">
        <v>5860</v>
      </c>
      <c r="R486" s="93">
        <v>260081.94096800001</v>
      </c>
      <c r="T486" t="s">
        <v>25</v>
      </c>
    </row>
    <row r="487" spans="17:24">
      <c r="Q487" s="97" t="s">
        <v>5874</v>
      </c>
      <c r="R487" s="93">
        <v>2909284.5308940001</v>
      </c>
      <c r="T487" t="s">
        <v>25</v>
      </c>
    </row>
    <row r="488" spans="17:24">
      <c r="Q488" s="97" t="s">
        <v>5878</v>
      </c>
      <c r="R488" s="93">
        <v>37723205.094084002</v>
      </c>
      <c r="W488" s="94" t="s">
        <v>25</v>
      </c>
    </row>
    <row r="489" spans="17:24">
      <c r="Q489" s="97" t="s">
        <v>5879</v>
      </c>
      <c r="R489" s="93">
        <v>1500094.75168</v>
      </c>
    </row>
    <row r="490" spans="17:24">
      <c r="Q490" s="97" t="s">
        <v>5880</v>
      </c>
      <c r="R490" s="93">
        <v>7230628.4378079996</v>
      </c>
      <c r="T490" t="s">
        <v>25</v>
      </c>
    </row>
    <row r="491" spans="17:24">
      <c r="Q491" s="97" t="s">
        <v>5882</v>
      </c>
      <c r="R491" s="93">
        <v>29767389.390390001</v>
      </c>
      <c r="T491" t="s">
        <v>25</v>
      </c>
    </row>
    <row r="492" spans="17:24">
      <c r="Q492" s="97" t="s">
        <v>5883</v>
      </c>
      <c r="R492" s="93">
        <v>151560.25597</v>
      </c>
      <c r="U492" s="94" t="s">
        <v>25</v>
      </c>
      <c r="W492" s="94" t="s">
        <v>25</v>
      </c>
    </row>
    <row r="493" spans="17:24">
      <c r="Q493" s="97" t="s">
        <v>5885</v>
      </c>
      <c r="R493" s="93">
        <v>481318.88078800001</v>
      </c>
      <c r="T493" t="s">
        <v>5827</v>
      </c>
      <c r="X493" t="s">
        <v>25</v>
      </c>
    </row>
    <row r="494" spans="17:24">
      <c r="Q494" s="97" t="s">
        <v>5889</v>
      </c>
      <c r="R494" s="93">
        <v>146277.56820000001</v>
      </c>
      <c r="T494" t="s">
        <v>25</v>
      </c>
      <c r="V494" t="s">
        <v>25</v>
      </c>
    </row>
    <row r="495" spans="17:24">
      <c r="Q495" s="97"/>
      <c r="R495" s="93"/>
      <c r="T495" t="s">
        <v>25</v>
      </c>
      <c r="U495" s="94" t="s">
        <v>25</v>
      </c>
    </row>
    <row r="496" spans="17:24">
      <c r="Q496" s="97" t="s">
        <v>25</v>
      </c>
      <c r="R496" s="97" t="s">
        <v>25</v>
      </c>
      <c r="T496" t="s">
        <v>25</v>
      </c>
      <c r="U496" s="94" t="s">
        <v>25</v>
      </c>
      <c r="V496" t="s">
        <v>25</v>
      </c>
    </row>
    <row r="497" spans="17:22">
      <c r="Q497" s="97" t="s">
        <v>25</v>
      </c>
      <c r="R497" s="93">
        <f>SUM(R303:R496)</f>
        <v>2425752400.3787603</v>
      </c>
      <c r="T497" t="s">
        <v>25</v>
      </c>
      <c r="U497" s="94" t="s">
        <v>25</v>
      </c>
      <c r="V497" t="s">
        <v>25</v>
      </c>
    </row>
    <row r="498" spans="17:22">
      <c r="Q498" s="97"/>
      <c r="R498" s="97" t="s">
        <v>6</v>
      </c>
      <c r="T498" t="s">
        <v>25</v>
      </c>
      <c r="U498" s="94" t="s">
        <v>25</v>
      </c>
    </row>
    <row r="499" spans="17:22">
      <c r="T499" t="s">
        <v>25</v>
      </c>
      <c r="U499" s="94" t="s">
        <v>25</v>
      </c>
      <c r="V499" t="s">
        <v>25</v>
      </c>
    </row>
    <row r="500" spans="17:22">
      <c r="T500" t="s">
        <v>25</v>
      </c>
      <c r="U500" s="94" t="s">
        <v>25</v>
      </c>
      <c r="V500" t="s">
        <v>25</v>
      </c>
    </row>
    <row r="501" spans="17:22">
      <c r="Q501" t="s">
        <v>25</v>
      </c>
      <c r="T501" t="s">
        <v>25</v>
      </c>
      <c r="U501" s="94" t="s">
        <v>25</v>
      </c>
    </row>
    <row r="502" spans="17:22">
      <c r="T502" t="s">
        <v>25</v>
      </c>
      <c r="U502" s="94" t="s">
        <v>25</v>
      </c>
      <c r="V502" t="s">
        <v>25</v>
      </c>
    </row>
    <row r="503" spans="17:22">
      <c r="R503" t="s">
        <v>25</v>
      </c>
      <c r="T503" t="s">
        <v>25</v>
      </c>
      <c r="U503" s="94" t="s">
        <v>25</v>
      </c>
    </row>
    <row r="504" spans="17:22">
      <c r="R504" t="s">
        <v>25</v>
      </c>
      <c r="T504" t="s">
        <v>25</v>
      </c>
    </row>
    <row r="505" spans="17:22">
      <c r="Q505" t="s">
        <v>25</v>
      </c>
      <c r="T505" t="s">
        <v>25</v>
      </c>
      <c r="U505" s="94" t="s">
        <v>25</v>
      </c>
    </row>
    <row r="506" spans="17:22">
      <c r="R506" t="s">
        <v>25</v>
      </c>
    </row>
    <row r="507" spans="17:22">
      <c r="T507" t="s">
        <v>25</v>
      </c>
    </row>
    <row r="508" spans="17:22">
      <c r="T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107" zoomScale="70" zoomScaleNormal="70" workbookViewId="0">
      <selection activeCell="C133" sqref="C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17700</v>
      </c>
      <c r="D92" s="287">
        <v>1</v>
      </c>
      <c r="E92" s="60" t="s">
        <v>4358</v>
      </c>
      <c r="F92" s="49">
        <f>C132</f>
        <v>12734</v>
      </c>
      <c r="G92" s="60">
        <f>C92*D92*0.99114/(F92*1.0037158)</f>
        <v>1.3725641891084603</v>
      </c>
      <c r="H92" s="205">
        <f>C92/F92</f>
        <v>1.3899795822208261</v>
      </c>
      <c r="I92" s="316">
        <f>F92/C92</f>
        <v>0.71943502824858752</v>
      </c>
      <c r="J92" s="20"/>
      <c r="K92" s="20">
        <f>H92/H89</f>
        <v>1.0481654503306499</v>
      </c>
      <c r="L92" s="20">
        <f>(1/K92-1.0256)*100</f>
        <v>-7.1552144592684215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5828</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5831</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17900</v>
      </c>
      <c r="Y95" s="115">
        <f>T95*X95</f>
        <v>15644600</v>
      </c>
    </row>
    <row r="96" spans="1:25" ht="19.5">
      <c r="A96" s="287" t="s">
        <v>5832</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1114</v>
      </c>
      <c r="Y96" s="115">
        <f>T96*X96</f>
        <v>328630000</v>
      </c>
    </row>
    <row r="97" spans="1:27" ht="19.5">
      <c r="A97" s="287" t="s">
        <v>5828</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5879</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8">
        <f>C131</f>
        <v>17700</v>
      </c>
      <c r="D101" s="287">
        <v>1</v>
      </c>
      <c r="E101" s="289" t="s">
        <v>4220</v>
      </c>
      <c r="F101" s="309">
        <f>C130</f>
        <v>1101</v>
      </c>
      <c r="G101" s="289">
        <f t="shared" ref="G101" si="25">C101*D101*0.99114/(F101*1.0037158)</f>
        <v>15.874870466945627</v>
      </c>
      <c r="H101" s="290">
        <f>C101/F101</f>
        <v>16.076294277929154</v>
      </c>
      <c r="I101" s="290">
        <f>F101/C101</f>
        <v>6.2203389830508472E-2</v>
      </c>
      <c r="J101" s="97"/>
      <c r="K101" s="304">
        <f>H101/H98</f>
        <v>0.96178273249584678</v>
      </c>
      <c r="L101" s="305">
        <f>(1/K101-1.0256)*100</f>
        <v>1.4135863634168633</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352638861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5883</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5885</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5886</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5889</v>
      </c>
      <c r="B107" s="60" t="s">
        <v>4358</v>
      </c>
      <c r="C107" s="49">
        <v>12698</v>
      </c>
      <c r="D107" s="60">
        <v>1000</v>
      </c>
      <c r="E107" s="289" t="s">
        <v>4220</v>
      </c>
      <c r="F107" s="291">
        <v>1148</v>
      </c>
      <c r="G107" s="289">
        <f t="shared" ref="G107:G114" si="35">C107*D107*0.99114/(F107*1.0037158)</f>
        <v>10922.389949280125</v>
      </c>
      <c r="H107" s="290">
        <f t="shared" ref="H107:H114" si="36">C107/F107</f>
        <v>11.060975609756097</v>
      </c>
      <c r="I107" s="301">
        <f t="shared" ref="I107:I114" si="37">F107/C107</f>
        <v>9.0407938257993384E-2</v>
      </c>
      <c r="J107" s="20"/>
      <c r="K107" s="20">
        <f t="shared" ref="K107:K114" si="38">H107/H106</f>
        <v>1.0129208642629903</v>
      </c>
      <c r="L107" s="20"/>
      <c r="M107" s="20"/>
      <c r="N107" s="20"/>
      <c r="P107" t="s">
        <v>25</v>
      </c>
    </row>
    <row r="108" spans="1:27">
      <c r="A108" s="326" t="s">
        <v>5889</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5893</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c r="L109" s="20"/>
      <c r="M109" s="20"/>
      <c r="N109" s="20"/>
      <c r="O109" t="s">
        <v>25</v>
      </c>
      <c r="P109" t="s">
        <v>25</v>
      </c>
      <c r="R109" s="97"/>
      <c r="S109" s="97" t="s">
        <v>4362</v>
      </c>
      <c r="T109" s="97">
        <v>4279</v>
      </c>
      <c r="U109" s="115">
        <v>32796123</v>
      </c>
      <c r="V109" s="115">
        <f>U109/T109</f>
        <v>7664.436316896471</v>
      </c>
      <c r="W109" s="115">
        <f>V109*1.01</f>
        <v>7741.0806800654354</v>
      </c>
      <c r="X109" s="97">
        <f>X95</f>
        <v>17900</v>
      </c>
      <c r="Y109" s="97">
        <f>T109*X109</f>
        <v>76594100</v>
      </c>
    </row>
    <row r="110" spans="1:27">
      <c r="A110" s="326" t="s">
        <v>5903</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c r="B111" s="60"/>
      <c r="C111" s="49"/>
      <c r="D111" s="60"/>
      <c r="E111" s="289"/>
      <c r="F111" s="291"/>
      <c r="G111" s="289"/>
      <c r="H111" s="290"/>
      <c r="I111" s="301"/>
      <c r="J111" s="20"/>
      <c r="K111" s="20"/>
      <c r="L111" s="20"/>
      <c r="M111" s="20"/>
      <c r="N111" s="20"/>
      <c r="R111" s="97"/>
      <c r="S111" s="97" t="s">
        <v>4220</v>
      </c>
      <c r="T111" s="97">
        <v>12936</v>
      </c>
      <c r="U111" s="115">
        <v>6322162</v>
      </c>
      <c r="V111" s="115">
        <f>U111/T111</f>
        <v>488.72619047619048</v>
      </c>
      <c r="W111" s="115">
        <f>V111*1.01</f>
        <v>493.61345238095237</v>
      </c>
      <c r="X111" s="97">
        <f>X96</f>
        <v>1114</v>
      </c>
      <c r="Y111" s="97">
        <f>T111*X111</f>
        <v>14410704</v>
      </c>
    </row>
    <row r="112" spans="1:27">
      <c r="A112" s="326"/>
      <c r="B112" s="60"/>
      <c r="C112" s="49"/>
      <c r="D112" s="60"/>
      <c r="E112" s="289"/>
      <c r="F112" s="291"/>
      <c r="G112" s="289"/>
      <c r="H112" s="290"/>
      <c r="I112" s="301"/>
      <c r="J112" s="20"/>
      <c r="K112" s="20"/>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60"/>
      <c r="B113" s="60"/>
      <c r="C113" s="49" t="s">
        <v>25</v>
      </c>
      <c r="D113" s="60"/>
      <c r="E113" s="289"/>
      <c r="F113" s="291"/>
      <c r="G113" s="289" t="e">
        <f t="shared" si="35"/>
        <v>#VALUE!</v>
      </c>
      <c r="H113" s="290" t="e">
        <f t="shared" si="36"/>
        <v>#VALUE!</v>
      </c>
      <c r="I113" s="301" t="e">
        <f t="shared" si="37"/>
        <v>#VALUE!</v>
      </c>
      <c r="J113" s="20"/>
      <c r="K113" s="20" t="e">
        <f>H113/H108</f>
        <v>#VALUE!</v>
      </c>
      <c r="L113" s="20" t="s">
        <v>25</v>
      </c>
      <c r="M113" s="20"/>
      <c r="N113" s="20"/>
      <c r="R113" s="97" t="s">
        <v>5416</v>
      </c>
      <c r="S113" s="97" t="s">
        <v>4519</v>
      </c>
      <c r="T113" s="97">
        <v>0</v>
      </c>
      <c r="U113" s="115">
        <v>180438</v>
      </c>
      <c r="V113" s="115"/>
      <c r="W113" s="115"/>
      <c r="X113" s="97">
        <f>X99</f>
        <v>1500</v>
      </c>
      <c r="Y113" s="93">
        <f>U113</f>
        <v>180438</v>
      </c>
    </row>
    <row r="114" spans="1:25">
      <c r="A114" s="60"/>
      <c r="B114" s="60"/>
      <c r="C114" s="49"/>
      <c r="D114" s="60"/>
      <c r="E114" s="289"/>
      <c r="F114" s="291"/>
      <c r="G114" s="289" t="e">
        <f t="shared" si="35"/>
        <v>#DIV/0!</v>
      </c>
      <c r="H114" s="290" t="e">
        <f t="shared" si="36"/>
        <v>#DIV/0!</v>
      </c>
      <c r="I114" s="301" t="e">
        <f t="shared" si="37"/>
        <v>#DIV/0!</v>
      </c>
      <c r="J114" s="20"/>
      <c r="K114" s="20" t="e">
        <f t="shared" si="38"/>
        <v>#DIV/0!</v>
      </c>
      <c r="L114" s="20"/>
      <c r="M114" s="20"/>
      <c r="N114" s="20"/>
      <c r="R114" s="97"/>
      <c r="S114" s="97"/>
      <c r="T114" s="97"/>
      <c r="U114" s="115"/>
      <c r="V114" s="115"/>
      <c r="W114" s="115"/>
      <c r="X114" s="97"/>
      <c r="Y114" s="97"/>
    </row>
    <row r="115" spans="1:25" ht="27" customHeight="1">
      <c r="A115" s="60"/>
      <c r="B115" s="60" t="s">
        <v>4358</v>
      </c>
      <c r="C115" s="49">
        <f>C132</f>
        <v>12734</v>
      </c>
      <c r="D115" s="60">
        <v>1</v>
      </c>
      <c r="E115" s="289" t="s">
        <v>4220</v>
      </c>
      <c r="F115" s="291">
        <f>C130</f>
        <v>1101</v>
      </c>
      <c r="G115" s="289">
        <f t="shared" ref="G115" si="39">C115*D115*0.99114/(F115*1.0037158)</f>
        <v>11.420937882829696</v>
      </c>
      <c r="H115" s="290">
        <f t="shared" ref="H115" si="40">C115/F115</f>
        <v>11.565849227974569</v>
      </c>
      <c r="I115" s="301">
        <f t="shared" ref="I115" si="41">F115/C115</f>
        <v>8.6461441809329354E-2</v>
      </c>
      <c r="J115" s="20"/>
      <c r="K115" s="20">
        <f>H115/H110</f>
        <v>1.0083628284064701</v>
      </c>
      <c r="L115" s="97">
        <f>(1/K115-1.0256)*100</f>
        <v>-3.3893471527194241</v>
      </c>
      <c r="M115" s="97"/>
      <c r="N115" s="97"/>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5883</v>
      </c>
      <c r="B118" s="289" t="s">
        <v>4220</v>
      </c>
      <c r="C118" s="289">
        <v>1261</v>
      </c>
      <c r="D118" s="289">
        <v>10000</v>
      </c>
      <c r="E118" s="323" t="s">
        <v>5306</v>
      </c>
      <c r="F118" s="323">
        <v>1354.1</v>
      </c>
      <c r="G118" s="323">
        <f>C118*D118*0.99114/(F118*1.0037158)</f>
        <v>9195.7803967440595</v>
      </c>
      <c r="H118" s="323">
        <f t="shared" ref="H118:H120" si="42">C118/F118</f>
        <v>0.93124584594933912</v>
      </c>
      <c r="I118" s="323">
        <f t="shared" ref="I118:I120" si="43">F118/C118</f>
        <v>1.0738302934179222</v>
      </c>
      <c r="J118" s="97"/>
      <c r="K118" s="97">
        <v>1</v>
      </c>
      <c r="L118" s="94" t="s">
        <v>25</v>
      </c>
      <c r="P118" t="s">
        <v>25</v>
      </c>
      <c r="Q118" t="s">
        <v>25</v>
      </c>
      <c r="R118" t="s">
        <v>25</v>
      </c>
      <c r="W118" t="s">
        <v>5435</v>
      </c>
      <c r="X118" s="112" t="e">
        <f>Y102+Y115-U102-U115</f>
        <v>#REF!</v>
      </c>
    </row>
    <row r="119" spans="1:25">
      <c r="A119" s="289" t="s">
        <v>5883</v>
      </c>
      <c r="B119" s="289" t="s">
        <v>4220</v>
      </c>
      <c r="C119" s="289">
        <v>1265.5</v>
      </c>
      <c r="D119" s="289">
        <v>13873</v>
      </c>
      <c r="E119" s="323" t="s">
        <v>5306</v>
      </c>
      <c r="F119" s="323">
        <v>1354.1</v>
      </c>
      <c r="G119" s="323">
        <f>C119*D119*0.99114/(F119*1.0037158)</f>
        <v>12802.831820572594</v>
      </c>
      <c r="H119" s="323">
        <f t="shared" si="42"/>
        <v>0.93456908647810355</v>
      </c>
      <c r="I119" s="323">
        <f t="shared" si="43"/>
        <v>1.0700118530225207</v>
      </c>
      <c r="J119" s="97"/>
      <c r="K119" s="97">
        <f>H119/H118</f>
        <v>1.0035685963521015</v>
      </c>
      <c r="L119" s="94"/>
      <c r="R119" t="s">
        <v>25</v>
      </c>
    </row>
    <row r="120" spans="1:25">
      <c r="A120" s="327" t="s">
        <v>5889</v>
      </c>
      <c r="B120" s="289" t="s">
        <v>4220</v>
      </c>
      <c r="C120" s="289">
        <v>1183</v>
      </c>
      <c r="D120" s="289">
        <v>5000</v>
      </c>
      <c r="E120" s="323" t="s">
        <v>5306</v>
      </c>
      <c r="F120" s="323">
        <v>1263</v>
      </c>
      <c r="G120" s="323">
        <f t="shared" ref="G120" si="44">C120*D120*0.99114/(F120*1.0037158)</f>
        <v>4624.6156157652495</v>
      </c>
      <c r="H120" s="323">
        <f t="shared" si="42"/>
        <v>0.936658749010293</v>
      </c>
      <c r="I120" s="323">
        <f t="shared" si="43"/>
        <v>1.0676246830092984</v>
      </c>
      <c r="J120" s="97"/>
      <c r="K120" s="97">
        <f t="shared" ref="K120:K124" si="45">H120/H119</f>
        <v>1.0022359636782598</v>
      </c>
      <c r="L120" s="94"/>
      <c r="M120" t="s">
        <v>25</v>
      </c>
      <c r="Q120" t="s">
        <v>25</v>
      </c>
      <c r="R120" s="315" t="s">
        <v>5733</v>
      </c>
    </row>
    <row r="121" spans="1:25">
      <c r="A121" s="289"/>
      <c r="B121" s="289"/>
      <c r="C121" s="289"/>
      <c r="D121" s="289"/>
      <c r="E121" s="323"/>
      <c r="F121" s="323"/>
      <c r="G121" s="323"/>
      <c r="H121" s="323"/>
      <c r="I121" s="323"/>
      <c r="J121" s="97"/>
      <c r="K121" s="97">
        <f t="shared" si="45"/>
        <v>0</v>
      </c>
      <c r="L121" s="94"/>
      <c r="P121" t="s">
        <v>25</v>
      </c>
      <c r="R121" t="s">
        <v>25</v>
      </c>
    </row>
    <row r="122" spans="1:25">
      <c r="A122" s="289"/>
      <c r="B122" s="289"/>
      <c r="C122" s="289"/>
      <c r="D122" s="289"/>
      <c r="E122" s="323"/>
      <c r="F122" s="323"/>
      <c r="G122" s="323"/>
      <c r="H122" s="323"/>
      <c r="I122" s="323"/>
      <c r="J122" s="97"/>
      <c r="K122" s="97" t="e">
        <f t="shared" si="45"/>
        <v>#DIV/0!</v>
      </c>
      <c r="L122" s="94"/>
      <c r="P122" s="94" t="s">
        <v>25</v>
      </c>
      <c r="Q122" t="s">
        <v>25</v>
      </c>
      <c r="R122" t="s">
        <v>25</v>
      </c>
      <c r="S122" t="s">
        <v>25</v>
      </c>
    </row>
    <row r="123" spans="1:25">
      <c r="A123" s="289"/>
      <c r="B123" s="289"/>
      <c r="C123" s="289"/>
      <c r="D123" s="289"/>
      <c r="E123" s="323"/>
      <c r="F123" s="323"/>
      <c r="G123" s="323"/>
      <c r="H123" s="323"/>
      <c r="I123" s="323"/>
      <c r="J123" s="97"/>
      <c r="K123" s="97" t="e">
        <f t="shared" si="45"/>
        <v>#DIV/0!</v>
      </c>
      <c r="L123" s="94"/>
      <c r="R123" t="s">
        <v>25</v>
      </c>
      <c r="S123" t="s">
        <v>25</v>
      </c>
    </row>
    <row r="124" spans="1:25">
      <c r="A124" s="289"/>
      <c r="B124" s="289"/>
      <c r="C124" s="289"/>
      <c r="D124" s="289"/>
      <c r="E124" s="323"/>
      <c r="F124" s="323"/>
      <c r="G124" s="323" t="e">
        <f t="shared" ref="G124:G126" si="46">C124*D124*0.99114/(F124*1.0037158)</f>
        <v>#DIV/0!</v>
      </c>
      <c r="H124" s="323" t="e">
        <f t="shared" ref="H124:H126" si="47">C124/F124</f>
        <v>#DIV/0!</v>
      </c>
      <c r="I124" s="323" t="e">
        <f t="shared" ref="I124:I126" si="48">F124/C124</f>
        <v>#DIV/0!</v>
      </c>
      <c r="J124" s="97"/>
      <c r="K124" s="97" t="e">
        <f t="shared" si="45"/>
        <v>#DIV/0!</v>
      </c>
      <c r="L124" s="94"/>
      <c r="S124" t="s">
        <v>25</v>
      </c>
    </row>
    <row r="125" spans="1:25">
      <c r="A125" s="97"/>
      <c r="B125" s="97"/>
      <c r="C125" s="97"/>
      <c r="D125" s="97"/>
      <c r="E125" s="97"/>
      <c r="F125" s="97"/>
      <c r="G125" s="97" t="e">
        <f t="shared" si="46"/>
        <v>#DIV/0!</v>
      </c>
      <c r="H125" s="97" t="e">
        <f t="shared" si="47"/>
        <v>#DIV/0!</v>
      </c>
      <c r="I125" s="97" t="e">
        <f t="shared" si="48"/>
        <v>#DIV/0!</v>
      </c>
      <c r="J125" s="97"/>
      <c r="K125" s="97" t="e">
        <f t="shared" ref="K125" si="49">H125/H124</f>
        <v>#DIV/0!</v>
      </c>
      <c r="L125" s="94"/>
      <c r="S125" t="s">
        <v>25</v>
      </c>
    </row>
    <row r="126" spans="1:25">
      <c r="A126" s="97"/>
      <c r="B126" s="97" t="s">
        <v>25</v>
      </c>
      <c r="C126" s="93">
        <f>C130</f>
        <v>1101</v>
      </c>
      <c r="D126" s="97"/>
      <c r="E126" s="97"/>
      <c r="F126" s="93">
        <f>C133</f>
        <v>1219.5999999999999</v>
      </c>
      <c r="G126" s="97">
        <f t="shared" si="46"/>
        <v>0</v>
      </c>
      <c r="H126" s="97">
        <f t="shared" si="47"/>
        <v>0.90275500163988198</v>
      </c>
      <c r="I126" s="97">
        <f t="shared" si="48"/>
        <v>1.1077202543142597</v>
      </c>
      <c r="J126" s="97"/>
      <c r="K126" s="97">
        <f>H126/H118</f>
        <v>0.96940566829545127</v>
      </c>
      <c r="L126" s="305">
        <f>(1/K126-1.0256)*100</f>
        <v>0.59598853040998545</v>
      </c>
      <c r="R126" t="s">
        <v>25</v>
      </c>
      <c r="S126" t="s">
        <v>25</v>
      </c>
    </row>
    <row r="127" spans="1:25">
      <c r="R127" t="s">
        <v>25</v>
      </c>
    </row>
    <row r="129" spans="1:20">
      <c r="S129" t="s">
        <v>25</v>
      </c>
      <c r="T129" t="s">
        <v>25</v>
      </c>
    </row>
    <row r="130" spans="1:20" ht="21">
      <c r="B130" t="s">
        <v>4220</v>
      </c>
      <c r="C130" s="307">
        <v>1101</v>
      </c>
      <c r="D130" t="s">
        <v>25</v>
      </c>
      <c r="E130" s="94"/>
      <c r="F130">
        <v>12659</v>
      </c>
      <c r="G130">
        <f>F130/0.99114</f>
        <v>12772.161349557075</v>
      </c>
      <c r="I130">
        <v>151172</v>
      </c>
      <c r="J130">
        <v>14370</v>
      </c>
      <c r="M130" s="94"/>
      <c r="N130" s="94"/>
      <c r="O130" t="s">
        <v>25</v>
      </c>
      <c r="P130" s="94" t="s">
        <v>5571</v>
      </c>
      <c r="R130" t="s">
        <v>25</v>
      </c>
      <c r="S130" t="s">
        <v>25</v>
      </c>
    </row>
    <row r="131" spans="1:20" ht="21">
      <c r="B131" t="s">
        <v>4362</v>
      </c>
      <c r="C131" s="306">
        <v>17700</v>
      </c>
      <c r="E131" s="94"/>
      <c r="F131">
        <v>18758</v>
      </c>
      <c r="G131" s="94">
        <f t="shared" ref="G131" si="50">F131/1.0037158</f>
        <v>18688.557059677652</v>
      </c>
      <c r="I131" s="94">
        <f>I130*J131/J130</f>
        <v>26594.48963117606</v>
      </c>
      <c r="J131">
        <v>2528</v>
      </c>
      <c r="M131" s="94"/>
      <c r="N131" s="94"/>
      <c r="P131" s="94" t="s">
        <v>5572</v>
      </c>
      <c r="Q131" t="s">
        <v>25</v>
      </c>
    </row>
    <row r="132" spans="1:20" ht="21">
      <c r="A132" s="94"/>
      <c r="B132" t="s">
        <v>4358</v>
      </c>
      <c r="C132" s="324">
        <v>12734</v>
      </c>
      <c r="F132">
        <v>140665</v>
      </c>
      <c r="G132" s="94">
        <f>F132*0.99114/1.0037158</f>
        <v>138902.5739158435</v>
      </c>
      <c r="H132" s="94"/>
      <c r="I132">
        <f>I130-I131</f>
        <v>124577.51036882395</v>
      </c>
      <c r="J132">
        <f>J130-J131</f>
        <v>11842</v>
      </c>
      <c r="K132" t="s">
        <v>25</v>
      </c>
      <c r="L132" t="s">
        <v>25</v>
      </c>
      <c r="M132" s="94"/>
      <c r="N132" s="94"/>
      <c r="P132" s="94" t="s">
        <v>5573</v>
      </c>
      <c r="Q132" t="s">
        <v>25</v>
      </c>
      <c r="R132" t="s">
        <v>25</v>
      </c>
    </row>
    <row r="133" spans="1:20" ht="21">
      <c r="A133" s="94"/>
      <c r="B133" s="94" t="s">
        <v>5306</v>
      </c>
      <c r="C133" s="325">
        <v>1219.5999999999999</v>
      </c>
      <c r="D133" s="94"/>
      <c r="E133" s="94"/>
      <c r="F133" s="94"/>
      <c r="G133" s="94"/>
      <c r="H133" s="94" t="s">
        <v>25</v>
      </c>
      <c r="J133" t="s">
        <v>25</v>
      </c>
      <c r="M133" s="94"/>
      <c r="N133" s="94"/>
      <c r="O133" t="s">
        <v>25</v>
      </c>
      <c r="P133" s="94" t="s">
        <v>5574</v>
      </c>
    </row>
    <row r="134" spans="1:20">
      <c r="A134" s="94"/>
      <c r="B134" s="94"/>
      <c r="C134" s="94"/>
      <c r="P134" s="94" t="s">
        <v>5575</v>
      </c>
    </row>
    <row r="135" spans="1:20">
      <c r="P135" s="94" t="s">
        <v>5576</v>
      </c>
      <c r="Q135" t="s">
        <v>25</v>
      </c>
    </row>
    <row r="136" spans="1:20">
      <c r="O136" t="s">
        <v>25</v>
      </c>
      <c r="Q136" t="s">
        <v>25</v>
      </c>
      <c r="R136" t="s">
        <v>25</v>
      </c>
    </row>
    <row r="137" spans="1:20">
      <c r="A137" s="60" t="s">
        <v>5889</v>
      </c>
      <c r="B137" s="60" t="s">
        <v>4358</v>
      </c>
      <c r="C137" s="60">
        <v>12975.5</v>
      </c>
      <c r="D137" s="60">
        <v>8000</v>
      </c>
      <c r="E137" s="323" t="s">
        <v>5306</v>
      </c>
      <c r="F137" s="323">
        <v>1266.3</v>
      </c>
      <c r="G137" s="323">
        <f>C137*D137*0.99114/(F137*1.0037158)</f>
        <v>80947.180267609016</v>
      </c>
      <c r="H137" s="323">
        <f t="shared" ref="H137:H139" si="51">C137/F137</f>
        <v>10.246781963199874</v>
      </c>
      <c r="I137" s="323">
        <f t="shared" ref="I137:I139" si="52">F137/C137</f>
        <v>9.7591614966667947E-2</v>
      </c>
      <c r="J137" s="97"/>
      <c r="K137" s="97">
        <v>1</v>
      </c>
      <c r="L137" s="94" t="s">
        <v>25</v>
      </c>
      <c r="O137" s="94"/>
      <c r="P137" t="s">
        <v>25</v>
      </c>
    </row>
    <row r="138" spans="1:20">
      <c r="A138" s="60" t="s">
        <v>5893</v>
      </c>
      <c r="B138" s="60" t="s">
        <v>4358</v>
      </c>
      <c r="C138" s="60">
        <v>12946</v>
      </c>
      <c r="D138" s="60">
        <v>1000</v>
      </c>
      <c r="E138" s="323" t="s">
        <v>5306</v>
      </c>
      <c r="F138" s="323">
        <v>1250.3</v>
      </c>
      <c r="G138" s="323">
        <f>C138*D138*0.99114/(F138*1.0037158)</f>
        <v>10224.583227467259</v>
      </c>
      <c r="H138" s="323">
        <f t="shared" si="51"/>
        <v>10.354314964408543</v>
      </c>
      <c r="I138" s="323">
        <f t="shared" si="52"/>
        <v>9.6578093619650848E-2</v>
      </c>
      <c r="J138" s="97"/>
      <c r="K138" s="97">
        <f>H138/H137</f>
        <v>1.0104943192501668</v>
      </c>
      <c r="L138" s="94"/>
      <c r="O138" s="94"/>
      <c r="Q138" t="s">
        <v>25</v>
      </c>
    </row>
    <row r="139" spans="1:20">
      <c r="A139" s="326" t="s">
        <v>5889</v>
      </c>
      <c r="B139" s="60"/>
      <c r="C139" s="60"/>
      <c r="D139" s="60"/>
      <c r="E139" s="323" t="s">
        <v>5306</v>
      </c>
      <c r="F139" s="323">
        <v>1263</v>
      </c>
      <c r="G139" s="323">
        <f t="shared" ref="G139" si="53">C139*D139*0.99114/(F139*1.0037158)</f>
        <v>0</v>
      </c>
      <c r="H139" s="323">
        <f t="shared" si="51"/>
        <v>0</v>
      </c>
      <c r="I139" s="323" t="e">
        <f t="shared" si="52"/>
        <v>#DIV/0!</v>
      </c>
      <c r="J139" s="97"/>
      <c r="K139" s="97">
        <f t="shared" ref="K139:K144" si="54">H139/H138</f>
        <v>0</v>
      </c>
      <c r="L139" s="94"/>
      <c r="O139" s="94"/>
      <c r="P139" t="s">
        <v>25</v>
      </c>
    </row>
    <row r="140" spans="1:20">
      <c r="A140" s="60"/>
      <c r="B140" s="60"/>
      <c r="C140" s="60"/>
      <c r="D140" s="60"/>
      <c r="E140" s="323"/>
      <c r="F140" s="323"/>
      <c r="G140" s="323"/>
      <c r="H140" s="323"/>
      <c r="I140" s="323"/>
      <c r="J140" s="97"/>
      <c r="K140" s="97" t="e">
        <f t="shared" si="54"/>
        <v>#DIV/0!</v>
      </c>
      <c r="L140" s="94"/>
      <c r="O140" s="94"/>
    </row>
    <row r="141" spans="1:20">
      <c r="A141" s="60"/>
      <c r="B141" s="60"/>
      <c r="C141" s="60"/>
      <c r="D141" s="60"/>
      <c r="E141" s="323"/>
      <c r="F141" s="323"/>
      <c r="G141" s="323"/>
      <c r="H141" s="323"/>
      <c r="I141" s="323"/>
      <c r="J141" s="97"/>
      <c r="K141" s="97" t="e">
        <f t="shared" si="54"/>
        <v>#DIV/0!</v>
      </c>
      <c r="L141" s="94"/>
      <c r="M141" s="94"/>
      <c r="N141" s="94"/>
      <c r="R141" t="s">
        <v>25</v>
      </c>
    </row>
    <row r="142" spans="1:20">
      <c r="A142" s="60"/>
      <c r="B142" s="60"/>
      <c r="C142" s="60"/>
      <c r="D142" s="60"/>
      <c r="E142" s="323"/>
      <c r="F142" s="323"/>
      <c r="G142" s="323"/>
      <c r="H142" s="323"/>
      <c r="I142" s="323"/>
      <c r="J142" s="97"/>
      <c r="K142" s="97" t="e">
        <f t="shared" si="54"/>
        <v>#DIV/0!</v>
      </c>
      <c r="L142" s="94"/>
      <c r="M142" s="94"/>
      <c r="N142" s="94"/>
      <c r="O142" t="s">
        <v>25</v>
      </c>
    </row>
    <row r="143" spans="1:20">
      <c r="A143" s="60"/>
      <c r="B143" s="60"/>
      <c r="C143" s="60"/>
      <c r="D143" s="60"/>
      <c r="E143" s="323"/>
      <c r="F143" s="323"/>
      <c r="G143" s="323" t="e">
        <f t="shared" ref="G143:G145" si="55">C143*D143*0.99114/(F143*1.0037158)</f>
        <v>#DIV/0!</v>
      </c>
      <c r="H143" s="323" t="e">
        <f t="shared" ref="H143:H145" si="56">C143/F143</f>
        <v>#DIV/0!</v>
      </c>
      <c r="I143" s="323" t="e">
        <f t="shared" ref="I143:I145" si="57">F143/C143</f>
        <v>#DIV/0!</v>
      </c>
      <c r="J143" s="97"/>
      <c r="K143" s="97" t="e">
        <f t="shared" si="54"/>
        <v>#DIV/0!</v>
      </c>
      <c r="L143" s="94"/>
      <c r="M143" s="94"/>
      <c r="N143" s="94"/>
      <c r="O143" t="s">
        <v>25</v>
      </c>
    </row>
    <row r="144" spans="1:20">
      <c r="A144" s="97"/>
      <c r="B144" s="97"/>
      <c r="C144" s="97"/>
      <c r="D144" s="97"/>
      <c r="E144" s="97"/>
      <c r="F144" s="97"/>
      <c r="G144" s="97" t="e">
        <f t="shared" si="55"/>
        <v>#DIV/0!</v>
      </c>
      <c r="H144" s="97" t="e">
        <f t="shared" si="56"/>
        <v>#DIV/0!</v>
      </c>
      <c r="I144" s="97" t="e">
        <f t="shared" si="57"/>
        <v>#DIV/0!</v>
      </c>
      <c r="J144" s="97"/>
      <c r="K144" s="97" t="e">
        <f t="shared" si="54"/>
        <v>#DIV/0!</v>
      </c>
      <c r="L144" s="94"/>
      <c r="M144" s="94"/>
      <c r="N144" s="94"/>
    </row>
    <row r="145" spans="1:17">
      <c r="A145" s="97"/>
      <c r="B145" s="97" t="s">
        <v>25</v>
      </c>
      <c r="C145" s="93">
        <f>C132</f>
        <v>12734</v>
      </c>
      <c r="D145" s="97"/>
      <c r="E145" s="97"/>
      <c r="F145" s="93">
        <f>C133</f>
        <v>1219.5999999999999</v>
      </c>
      <c r="G145" s="97">
        <f t="shared" si="55"/>
        <v>0</v>
      </c>
      <c r="H145" s="97">
        <f t="shared" si="56"/>
        <v>10.44112823876681</v>
      </c>
      <c r="I145" s="97">
        <f t="shared" si="57"/>
        <v>9.5775090309407881E-2</v>
      </c>
      <c r="J145" s="97"/>
      <c r="K145" s="97">
        <f>H145/H138</f>
        <v>1.0083842605384012</v>
      </c>
      <c r="L145" s="305">
        <f>(1/K145-1.0256)*100</f>
        <v>-3.3914549191718546</v>
      </c>
      <c r="O145" t="s">
        <v>25</v>
      </c>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5828</v>
      </c>
      <c r="B150" s="287" t="s">
        <v>4362</v>
      </c>
      <c r="C150" s="287">
        <v>21532</v>
      </c>
      <c r="D150" s="287">
        <v>1859</v>
      </c>
      <c r="E150" s="289" t="s">
        <v>4220</v>
      </c>
      <c r="F150" s="289">
        <v>1273.7</v>
      </c>
      <c r="G150" s="289">
        <f>C150*D150*0.99114/(F150*1.0037158)</f>
        <v>31032.792320085835</v>
      </c>
      <c r="H150" s="289">
        <f t="shared" ref="H150" si="58">C150/F150</f>
        <v>16.905079689094762</v>
      </c>
      <c r="I150" s="289">
        <f t="shared" ref="I150" si="59">F150/C150</f>
        <v>5.9153817573843581E-2</v>
      </c>
      <c r="J150" s="97"/>
      <c r="K150" s="97">
        <v>1</v>
      </c>
      <c r="L150" t="s">
        <v>25</v>
      </c>
      <c r="O150" t="s">
        <v>25</v>
      </c>
      <c r="P150" t="s">
        <v>25</v>
      </c>
    </row>
    <row r="151" spans="1:17">
      <c r="A151" s="287" t="s">
        <v>5835</v>
      </c>
      <c r="B151" s="287" t="s">
        <v>4362</v>
      </c>
      <c r="C151" s="287">
        <v>22420.1</v>
      </c>
      <c r="D151" s="287">
        <v>1000</v>
      </c>
      <c r="E151" s="289" t="s">
        <v>4220</v>
      </c>
      <c r="F151" s="289">
        <v>1246</v>
      </c>
      <c r="G151" s="289">
        <f t="shared" ref="G151:G161" si="60">C151*D151*0.99114/(F151*1.0037158)</f>
        <v>17768.212761057777</v>
      </c>
      <c r="H151" s="289">
        <f t="shared" ref="H151:H161" si="61">C151/F151</f>
        <v>17.993659711075441</v>
      </c>
      <c r="I151" s="289">
        <f t="shared" ref="I151:I161" si="62">F151/C151</f>
        <v>5.557513124383924E-2</v>
      </c>
      <c r="J151" s="97"/>
      <c r="K151" s="97">
        <f>H151/H150</f>
        <v>1.0643936640347758</v>
      </c>
      <c r="P151" t="s">
        <v>25</v>
      </c>
    </row>
    <row r="152" spans="1:17">
      <c r="A152" s="287" t="s">
        <v>5838</v>
      </c>
      <c r="B152" s="287" t="s">
        <v>4362</v>
      </c>
      <c r="C152" s="287">
        <v>23233.1</v>
      </c>
      <c r="D152" s="287">
        <v>1000</v>
      </c>
      <c r="E152" s="289" t="s">
        <v>4220</v>
      </c>
      <c r="F152" s="289">
        <v>1236</v>
      </c>
      <c r="G152" s="289">
        <f t="shared" ref="G152:G160" si="63">C152*D152*0.99114/(F152*1.0037158)</f>
        <v>18561.494195015792</v>
      </c>
      <c r="H152" s="289">
        <f t="shared" ref="H152:H160" si="64">C152/F152</f>
        <v>18.797006472491908</v>
      </c>
      <c r="I152" s="289">
        <f t="shared" ref="I152:I160" si="65">F152/C152</f>
        <v>5.3199960401323979E-2</v>
      </c>
      <c r="J152" s="97"/>
      <c r="K152" s="97">
        <f t="shared" ref="K152:K160" si="66">H152/H151</f>
        <v>1.0446461017000335</v>
      </c>
    </row>
    <row r="153" spans="1:17">
      <c r="A153" s="287" t="s">
        <v>5840</v>
      </c>
      <c r="B153" s="287" t="s">
        <v>4362</v>
      </c>
      <c r="C153" s="287">
        <v>23900</v>
      </c>
      <c r="D153" s="287">
        <v>1000</v>
      </c>
      <c r="E153" s="289" t="s">
        <v>4220</v>
      </c>
      <c r="F153" s="289">
        <v>1237.2</v>
      </c>
      <c r="G153" s="289">
        <f t="shared" si="63"/>
        <v>19075.776812419539</v>
      </c>
      <c r="H153" s="289">
        <f t="shared" si="64"/>
        <v>19.317814419657289</v>
      </c>
      <c r="I153" s="289">
        <f t="shared" si="65"/>
        <v>5.1765690376569043E-2</v>
      </c>
      <c r="J153" s="97"/>
      <c r="K153" s="97">
        <f t="shared" si="66"/>
        <v>1.027706962165893</v>
      </c>
    </row>
    <row r="154" spans="1:17">
      <c r="A154" s="287" t="s">
        <v>5857</v>
      </c>
      <c r="B154" s="287" t="s">
        <v>4362</v>
      </c>
      <c r="C154" s="287">
        <v>22500</v>
      </c>
      <c r="D154" s="287">
        <v>2000</v>
      </c>
      <c r="E154" s="289" t="s">
        <v>4220</v>
      </c>
      <c r="F154" s="289">
        <v>1173</v>
      </c>
      <c r="G154" s="289">
        <f t="shared" si="63"/>
        <v>37882.509827272828</v>
      </c>
      <c r="H154" s="289">
        <f t="shared" si="64"/>
        <v>19.181585677749361</v>
      </c>
      <c r="I154" s="289">
        <f t="shared" si="65"/>
        <v>5.213333333333333E-2</v>
      </c>
      <c r="J154" s="97"/>
      <c r="K154" s="97">
        <f t="shared" si="66"/>
        <v>0.99294802512600466</v>
      </c>
      <c r="L154" s="94"/>
    </row>
    <row r="155" spans="1:17">
      <c r="A155" s="287"/>
      <c r="B155" s="287" t="s">
        <v>4220</v>
      </c>
      <c r="C155" s="287">
        <v>1278</v>
      </c>
      <c r="D155" s="287">
        <v>124577</v>
      </c>
      <c r="E155" s="289" t="s">
        <v>4358</v>
      </c>
      <c r="F155" s="289">
        <v>13275.6</v>
      </c>
      <c r="G155" s="289">
        <f t="shared" si="63"/>
        <v>11842.374923263753</v>
      </c>
      <c r="H155" s="289">
        <f t="shared" si="64"/>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3"/>
        <v>#DIV/0!</v>
      </c>
      <c r="H159" s="289" t="e">
        <f t="shared" si="64"/>
        <v>#DIV/0!</v>
      </c>
      <c r="I159" s="289" t="e">
        <f t="shared" si="65"/>
        <v>#DIV/0!</v>
      </c>
      <c r="J159" s="97"/>
      <c r="K159" s="97" t="e">
        <f>H159/H154</f>
        <v>#DIV/0!</v>
      </c>
      <c r="L159" s="94"/>
    </row>
    <row r="160" spans="1:17">
      <c r="A160" s="97"/>
      <c r="B160" s="97"/>
      <c r="C160" s="97"/>
      <c r="D160" s="97"/>
      <c r="E160" s="97"/>
      <c r="F160" s="97"/>
      <c r="G160" s="97" t="e">
        <f t="shared" si="63"/>
        <v>#DIV/0!</v>
      </c>
      <c r="H160" s="97" t="e">
        <f t="shared" si="64"/>
        <v>#DIV/0!</v>
      </c>
      <c r="I160" s="97" t="e">
        <f t="shared" si="65"/>
        <v>#DIV/0!</v>
      </c>
      <c r="J160" s="97"/>
      <c r="K160" s="97" t="e">
        <f t="shared" si="66"/>
        <v>#DIV/0!</v>
      </c>
    </row>
    <row r="161" spans="1:12">
      <c r="A161" s="97"/>
      <c r="B161" s="97" t="s">
        <v>25</v>
      </c>
      <c r="C161" s="93">
        <f>C130</f>
        <v>1101</v>
      </c>
      <c r="D161" s="97"/>
      <c r="E161" s="97"/>
      <c r="F161" s="93">
        <f>C132</f>
        <v>12734</v>
      </c>
      <c r="G161" s="97">
        <f t="shared" si="60"/>
        <v>0</v>
      </c>
      <c r="H161" s="97">
        <f t="shared" si="61"/>
        <v>8.6461441809329354E-2</v>
      </c>
      <c r="I161" s="97">
        <f t="shared" si="62"/>
        <v>11.565849227974569</v>
      </c>
      <c r="J161" s="97"/>
      <c r="K161" s="97">
        <f>H161/H155</f>
        <v>0.8981435969357846</v>
      </c>
      <c r="L161" s="305">
        <f>(1/K161-1.0256)*100</f>
        <v>8.7807703859072106</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5907</v>
      </c>
      <c r="I31" s="11">
        <v>275860</v>
      </c>
      <c r="J31" s="11" t="s">
        <v>476</v>
      </c>
    </row>
    <row r="32" spans="2:21">
      <c r="G32" s="11">
        <f t="shared" si="5"/>
        <v>90860</v>
      </c>
      <c r="H32" s="57" t="s">
        <v>780</v>
      </c>
      <c r="I32" s="11">
        <v>185000</v>
      </c>
      <c r="J32" s="11" t="s">
        <v>556</v>
      </c>
    </row>
    <row r="33" spans="6:23">
      <c r="G33" s="11">
        <f t="shared" si="5"/>
        <v>0</v>
      </c>
      <c r="H33" s="11" t="s">
        <v>5907</v>
      </c>
      <c r="I33" s="11">
        <v>275860</v>
      </c>
      <c r="J33" s="11" t="s">
        <v>563</v>
      </c>
    </row>
    <row r="34" spans="6:23">
      <c r="G34" s="11">
        <f t="shared" si="5"/>
        <v>0</v>
      </c>
      <c r="H34" s="11" t="s">
        <v>5907</v>
      </c>
      <c r="I34" s="11">
        <v>275860</v>
      </c>
      <c r="J34" s="11" t="s">
        <v>564</v>
      </c>
    </row>
    <row r="35" spans="6:23">
      <c r="G35" s="11">
        <f t="shared" si="5"/>
        <v>0</v>
      </c>
      <c r="H35" s="11" t="s">
        <v>5907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5909</v>
      </c>
      <c r="I48" s="97">
        <v>275860</v>
      </c>
      <c r="J48" s="97" t="s">
        <v>5908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5857</v>
      </c>
      <c r="I58" s="97">
        <v>42500</v>
      </c>
      <c r="J58" s="97" t="s">
        <v>563</v>
      </c>
      <c r="M58" s="25"/>
      <c r="N58" s="25"/>
      <c r="O58" s="25"/>
      <c r="P58" s="25"/>
      <c r="Q58" s="69"/>
      <c r="R58" s="25"/>
      <c r="S58" s="69"/>
      <c r="T58" s="25"/>
      <c r="U58" s="25"/>
      <c r="V58" s="25"/>
      <c r="W58" s="25"/>
    </row>
    <row r="59" spans="7:23">
      <c r="G59" s="97">
        <f t="shared" si="6"/>
        <v>1500</v>
      </c>
      <c r="H59" s="97" t="s">
        <v>5857</v>
      </c>
      <c r="I59" s="97">
        <v>42500</v>
      </c>
      <c r="J59" s="97" t="s">
        <v>564</v>
      </c>
      <c r="M59" s="25"/>
      <c r="N59" s="25"/>
      <c r="O59" s="25"/>
      <c r="P59" s="25"/>
      <c r="Q59" s="69"/>
      <c r="R59" s="25"/>
      <c r="S59" s="69"/>
      <c r="T59" s="25"/>
      <c r="U59" s="25"/>
      <c r="V59" s="25"/>
      <c r="W59" s="25"/>
    </row>
    <row r="60" spans="7:23">
      <c r="G60" s="97">
        <f t="shared" si="6"/>
        <v>1500</v>
      </c>
      <c r="H60" s="97" t="s">
        <v>5857</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5857</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9" t="s">
        <v>1073</v>
      </c>
      <c r="R21" s="329"/>
      <c r="S21" s="329"/>
      <c r="T21" s="329"/>
      <c r="U21" s="94"/>
      <c r="V21" s="94"/>
      <c r="W21" s="41" t="s">
        <v>4977</v>
      </c>
      <c r="X21" s="41">
        <v>9035210431</v>
      </c>
      <c r="Y21" s="41">
        <v>50</v>
      </c>
      <c r="Z21" s="41" t="s">
        <v>5247</v>
      </c>
      <c r="AA21" t="s">
        <v>4995</v>
      </c>
    </row>
    <row r="22" spans="5:35">
      <c r="O22" s="97"/>
      <c r="P22" s="97"/>
      <c r="Q22" s="329"/>
      <c r="R22" s="329"/>
      <c r="S22" s="329"/>
      <c r="T22" s="329"/>
      <c r="U22" s="94"/>
      <c r="V22" s="94"/>
      <c r="W22" s="41" t="s">
        <v>5066</v>
      </c>
      <c r="X22" s="41">
        <v>9909620343</v>
      </c>
      <c r="Y22" s="41">
        <v>200</v>
      </c>
      <c r="Z22" s="41" t="s">
        <v>5248</v>
      </c>
      <c r="AA22" t="s">
        <v>5251</v>
      </c>
      <c r="AB22" s="41" t="s">
        <v>5259</v>
      </c>
    </row>
    <row r="23" spans="5:35" ht="15.75">
      <c r="O23" s="176"/>
      <c r="P23" s="97" t="s">
        <v>4070</v>
      </c>
      <c r="Q23" s="330" t="s">
        <v>1074</v>
      </c>
      <c r="R23" s="331" t="s">
        <v>1075</v>
      </c>
      <c r="S23" s="330" t="s">
        <v>1076</v>
      </c>
      <c r="T23" s="332" t="s">
        <v>1077</v>
      </c>
      <c r="W23" s="41" t="s">
        <v>5067</v>
      </c>
      <c r="X23" s="41">
        <v>9378807702</v>
      </c>
      <c r="Y23" s="41">
        <v>0</v>
      </c>
      <c r="Z23" s="41">
        <v>0</v>
      </c>
      <c r="AD23" t="s">
        <v>25</v>
      </c>
    </row>
    <row r="24" spans="5:35">
      <c r="O24" s="97"/>
      <c r="P24" s="97"/>
      <c r="Q24" s="330"/>
      <c r="R24" s="331"/>
      <c r="S24" s="330"/>
      <c r="T24" s="332"/>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2021-02-28T11:33:07Z</dcterms:modified>
</cp:coreProperties>
</file>