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J30" i="63" l="1"/>
  <c r="I30" i="63"/>
  <c r="I33" i="63"/>
  <c r="H30" i="63"/>
  <c r="K30" i="63" s="1"/>
  <c r="G30" i="63"/>
  <c r="N29" i="63"/>
  <c r="G29" i="63"/>
  <c r="H29" i="63"/>
  <c r="I29" i="63"/>
  <c r="J29" i="63" s="1"/>
  <c r="K29" i="63" s="1"/>
  <c r="O36" i="18"/>
  <c r="AE29" i="60" l="1"/>
  <c r="AA33" i="60"/>
  <c r="AA35" i="60"/>
  <c r="AA36" i="60"/>
  <c r="AA37" i="60"/>
  <c r="AA38" i="60"/>
  <c r="AA39" i="60"/>
  <c r="AA40" i="60"/>
  <c r="AA41" i="60"/>
  <c r="AA42" i="60"/>
  <c r="AA43" i="60"/>
  <c r="AA29" i="60"/>
  <c r="Z43" i="60"/>
  <c r="Z42" i="60" s="1"/>
  <c r="Z41" i="60" s="1"/>
  <c r="Z40" i="60" s="1"/>
  <c r="Z39" i="60" s="1"/>
  <c r="Z38" i="60" s="1"/>
  <c r="Z37" i="60" s="1"/>
  <c r="Z36" i="60" s="1"/>
  <c r="Z35" i="60" s="1"/>
  <c r="Z34" i="60" s="1"/>
  <c r="Z33" i="60" s="1"/>
  <c r="Z32" i="60" s="1"/>
  <c r="Z31" i="60" s="1"/>
  <c r="Z30" i="60" s="1"/>
  <c r="Z29" i="60" s="1"/>
  <c r="AA34" i="60" l="1"/>
  <c r="AA32" i="60"/>
  <c r="AA31" i="60"/>
  <c r="AA30" i="60"/>
  <c r="AA46" i="60" s="1"/>
  <c r="I28" i="63"/>
  <c r="J28" i="63" s="1"/>
  <c r="P24" i="63"/>
  <c r="D50" i="63" l="1"/>
  <c r="D51" i="63"/>
  <c r="D49" i="63"/>
  <c r="R196" i="18"/>
  <c r="I36" i="63"/>
  <c r="J36" i="63" s="1"/>
  <c r="I35" i="63"/>
  <c r="J35" i="63" s="1"/>
  <c r="K35" i="63" s="1"/>
  <c r="D60" i="63" l="1"/>
  <c r="B64" i="63" s="1"/>
  <c r="K36" i="63"/>
  <c r="J33" i="63"/>
  <c r="I34" i="63"/>
  <c r="J34" i="63" s="1"/>
  <c r="K34" i="63" s="1"/>
  <c r="W492" i="18"/>
  <c r="R194"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1" i="18"/>
  <c r="Q22" i="63"/>
  <c r="P22" i="63"/>
  <c r="R131" i="60" l="1"/>
  <c r="S132" i="60"/>
  <c r="W490" i="18"/>
  <c r="W489" i="18"/>
  <c r="W488" i="18"/>
  <c r="G28" i="63"/>
  <c r="H28" i="63"/>
  <c r="Q35" i="63"/>
  <c r="P35" i="63"/>
  <c r="Q34" i="63"/>
  <c r="P34" i="63"/>
  <c r="R130" i="60" l="1"/>
  <c r="S131" i="60"/>
  <c r="K28" i="63"/>
  <c r="W487" i="18"/>
  <c r="R129" i="60" l="1"/>
  <c r="S130"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6" i="18"/>
  <c r="G27" i="63"/>
  <c r="R126" i="60" l="1"/>
  <c r="S127" i="60"/>
  <c r="W485" i="18"/>
  <c r="W484"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49" i="18"/>
  <c r="R119" i="60" l="1"/>
  <c r="S120" i="60"/>
  <c r="W482" i="18"/>
  <c r="R118" i="60" l="1"/>
  <c r="S119" i="60"/>
  <c r="W481" i="18"/>
  <c r="P23" i="18"/>
  <c r="N23" i="18" s="1"/>
  <c r="N51" i="18"/>
  <c r="R117" i="60" l="1"/>
  <c r="S118" i="60"/>
  <c r="F117" i="60"/>
  <c r="D117" i="60"/>
  <c r="D123" i="60" s="1"/>
  <c r="R116" i="60" l="1"/>
  <c r="S117" i="60"/>
  <c r="I118" i="60"/>
  <c r="R115" i="60" l="1"/>
  <c r="S116" i="60"/>
  <c r="F118" i="60"/>
  <c r="I119" i="60" s="1"/>
  <c r="F119" i="60" s="1"/>
  <c r="I120" i="60" s="1"/>
  <c r="W479" i="18"/>
  <c r="R114" i="60" l="1"/>
  <c r="S115" i="60"/>
  <c r="F120" i="60"/>
  <c r="F123" i="60" s="1"/>
  <c r="R113" i="60" l="1"/>
  <c r="S114" i="60"/>
  <c r="V170" i="18"/>
  <c r="AJ479" i="18"/>
  <c r="S113" i="60" l="1"/>
  <c r="R112" i="60"/>
  <c r="W478" i="18"/>
  <c r="W477" i="18"/>
  <c r="W476" i="18"/>
  <c r="V532" i="18"/>
  <c r="V533" i="18"/>
  <c r="W480" i="18"/>
  <c r="W499" i="18"/>
  <c r="W500" i="18"/>
  <c r="W501" i="18"/>
  <c r="W475" i="18"/>
  <c r="W474" i="18"/>
  <c r="P25" i="18"/>
  <c r="N25" i="18" s="1"/>
  <c r="N52" i="18"/>
  <c r="W394" i="18"/>
  <c r="R111" i="60" l="1"/>
  <c r="S112" i="60"/>
  <c r="S117" i="18"/>
  <c r="N45" i="18"/>
  <c r="H31" i="63"/>
  <c r="J31" i="63" s="1"/>
  <c r="K31" i="63" s="1"/>
  <c r="G31" i="63"/>
  <c r="S111" i="60" l="1"/>
  <c r="R110" i="60"/>
  <c r="D2" i="60"/>
  <c r="G8" i="60"/>
  <c r="N8" i="60" s="1"/>
  <c r="G6" i="60"/>
  <c r="N6" i="60" s="1"/>
  <c r="H3" i="60"/>
  <c r="H4" i="60"/>
  <c r="H5" i="60"/>
  <c r="H2" i="60"/>
  <c r="F2" i="60"/>
  <c r="R109" i="60" l="1"/>
  <c r="S110" i="60"/>
  <c r="W473" i="18"/>
  <c r="N53" i="18"/>
  <c r="T3" i="64"/>
  <c r="T4" i="64"/>
  <c r="T5" i="64"/>
  <c r="T6" i="64"/>
  <c r="T7" i="64"/>
  <c r="T2" i="64"/>
  <c r="R108" i="60" l="1"/>
  <c r="S109" i="60"/>
  <c r="H307" i="18"/>
  <c r="W472" i="18"/>
  <c r="W471" i="18"/>
  <c r="AL244" i="18"/>
  <c r="AL243" i="18" s="1"/>
  <c r="AL242" i="18" s="1"/>
  <c r="S108" i="60" l="1"/>
  <c r="R107" i="60"/>
  <c r="W470" i="18"/>
  <c r="R106" i="60" l="1"/>
  <c r="S107" i="60"/>
  <c r="W469" i="18"/>
  <c r="G20" i="63"/>
  <c r="H20" i="63"/>
  <c r="G21" i="63"/>
  <c r="H21" i="63"/>
  <c r="N21" i="63" s="1"/>
  <c r="U2" i="63"/>
  <c r="R105" i="60" l="1"/>
  <c r="S106" i="60"/>
  <c r="J20" i="63"/>
  <c r="K20" i="63" s="1"/>
  <c r="J21" i="63"/>
  <c r="K21" i="63" s="1"/>
  <c r="G40" i="63"/>
  <c r="H40" i="63"/>
  <c r="J40" i="63" s="1"/>
  <c r="K40" i="63" s="1"/>
  <c r="V538" i="18"/>
  <c r="V537" i="18"/>
  <c r="V534" i="18"/>
  <c r="V536" i="18"/>
  <c r="V543" i="18"/>
  <c r="V535" i="18"/>
  <c r="R104" i="60" l="1"/>
  <c r="S105" i="60"/>
  <c r="X527" i="18"/>
  <c r="R319" i="18"/>
  <c r="R103" i="60" l="1"/>
  <c r="S104" i="60"/>
  <c r="W466" i="18"/>
  <c r="W467" i="18"/>
  <c r="W468" i="18"/>
  <c r="R102" i="60" l="1"/>
  <c r="S103" i="60"/>
  <c r="P22" i="18"/>
  <c r="R101" i="60" l="1"/>
  <c r="S102" i="60"/>
  <c r="W465" i="18"/>
  <c r="G22" i="63"/>
  <c r="R27" i="63" s="1"/>
  <c r="H22" i="63"/>
  <c r="J22" i="63" s="1"/>
  <c r="K22" i="63" s="1"/>
  <c r="R100" i="60" l="1"/>
  <c r="S101" i="60"/>
  <c r="G19" i="63"/>
  <c r="H19" i="63"/>
  <c r="R99" i="60" l="1"/>
  <c r="S100" i="60"/>
  <c r="J19" i="63"/>
  <c r="K19" i="63" s="1"/>
  <c r="W464" i="18"/>
  <c r="R98" i="60" l="1"/>
  <c r="S99" i="60"/>
  <c r="W463"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2" i="18"/>
  <c r="S92" i="60" l="1"/>
  <c r="R91" i="60"/>
  <c r="N16" i="63"/>
  <c r="N24" i="63"/>
  <c r="G13" i="63"/>
  <c r="H13" i="63"/>
  <c r="G14" i="63"/>
  <c r="H14" i="63"/>
  <c r="W461" i="18"/>
  <c r="G11" i="63"/>
  <c r="H11" i="63"/>
  <c r="G12" i="63"/>
  <c r="H12" i="63"/>
  <c r="R90" i="60" l="1"/>
  <c r="S91" i="60"/>
  <c r="N13" i="63"/>
  <c r="J13" i="63"/>
  <c r="K13" i="63" s="1"/>
  <c r="N14" i="63"/>
  <c r="J14" i="63"/>
  <c r="K14" i="63" s="1"/>
  <c r="N15" i="63"/>
  <c r="N12" i="63"/>
  <c r="J12" i="63"/>
  <c r="K12" i="63" s="1"/>
  <c r="J11" i="63"/>
  <c r="K11" i="63" s="1"/>
  <c r="W460" i="18"/>
  <c r="U502" i="18"/>
  <c r="S90" i="60" l="1"/>
  <c r="R89" i="60"/>
  <c r="V171" i="18"/>
  <c r="T167" i="18" s="1"/>
  <c r="W459" i="18"/>
  <c r="G10" i="63"/>
  <c r="S89" i="60" l="1"/>
  <c r="R88" i="60"/>
  <c r="T165" i="18"/>
  <c r="P31" i="18"/>
  <c r="G4" i="67" s="1"/>
  <c r="W458" i="18"/>
  <c r="S88" i="60" l="1"/>
  <c r="R87" i="60"/>
  <c r="H4" i="67"/>
  <c r="H10" i="67" s="1"/>
  <c r="G19" i="67"/>
  <c r="H19" i="67" s="1"/>
  <c r="H23" i="67" s="1"/>
  <c r="W457" i="18"/>
  <c r="G8" i="63"/>
  <c r="H8" i="63"/>
  <c r="J8" i="63" s="1"/>
  <c r="K8" i="63" s="1"/>
  <c r="R86" i="60" l="1"/>
  <c r="S87" i="60"/>
  <c r="E26" i="67"/>
  <c r="H1" i="63"/>
  <c r="R85" i="60" l="1"/>
  <c r="S86" i="60"/>
  <c r="J1" i="63"/>
  <c r="K1" i="63" s="1"/>
  <c r="P142" i="60"/>
  <c r="S85" i="60" l="1"/>
  <c r="R84" i="60"/>
  <c r="W454" i="18"/>
  <c r="R83" i="60" l="1"/>
  <c r="S84" i="60"/>
  <c r="W453" i="18"/>
  <c r="R82" i="60" l="1"/>
  <c r="S83" i="60"/>
  <c r="H10" i="63"/>
  <c r="R81" i="60" l="1"/>
  <c r="S82" i="60"/>
  <c r="J10" i="63"/>
  <c r="K10" i="63" s="1"/>
  <c r="N11" i="63"/>
  <c r="F28" i="60"/>
  <c r="G28" i="60" s="1"/>
  <c r="R80" i="60" l="1"/>
  <c r="S81" i="60"/>
  <c r="G42" i="63"/>
  <c r="H42" i="63"/>
  <c r="J42" i="63" s="1"/>
  <c r="K42" i="63" s="1"/>
  <c r="G43" i="63"/>
  <c r="H43" i="63"/>
  <c r="J43" i="63" s="1"/>
  <c r="G44" i="63"/>
  <c r="H44" i="63"/>
  <c r="J44" i="63" s="1"/>
  <c r="K44" i="63" s="1"/>
  <c r="G41" i="63"/>
  <c r="H41" i="63"/>
  <c r="J41" i="63" s="1"/>
  <c r="K41" i="63" s="1"/>
  <c r="W452" i="18"/>
  <c r="R79" i="60" l="1"/>
  <c r="S80" i="60"/>
  <c r="K43" i="63"/>
  <c r="Q11" i="63"/>
  <c r="N44" i="63"/>
  <c r="N42" i="63"/>
  <c r="N43" i="63"/>
  <c r="N41" i="63"/>
  <c r="R78" i="60" l="1"/>
  <c r="S79" i="60"/>
  <c r="W451"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0" i="18"/>
  <c r="S77" i="60" l="1"/>
  <c r="R76" i="60"/>
  <c r="W449" i="18"/>
  <c r="R75" i="60" l="1"/>
  <c r="S76" i="60"/>
  <c r="D168" i="58"/>
  <c r="R74" i="60" l="1"/>
  <c r="S75" i="60"/>
  <c r="O473" i="52"/>
  <c r="J473" i="52"/>
  <c r="R73" i="60" l="1"/>
  <c r="S74" i="60"/>
  <c r="W444" i="18"/>
  <c r="W445" i="18"/>
  <c r="W446" i="18"/>
  <c r="W447" i="18"/>
  <c r="W448" i="18"/>
  <c r="W455" i="18"/>
  <c r="W456" i="18"/>
  <c r="AL478" i="18"/>
  <c r="AL477" i="18" s="1"/>
  <c r="O472" i="52"/>
  <c r="J472" i="52"/>
  <c r="R72" i="60" l="1"/>
  <c r="S73" i="60"/>
  <c r="AM477" i="18"/>
  <c r="AL476" i="18"/>
  <c r="AM478" i="18"/>
  <c r="R71" i="60" l="1"/>
  <c r="S72" i="60"/>
  <c r="AL475" i="18"/>
  <c r="AM476" i="18"/>
  <c r="AL466" i="18"/>
  <c r="R540" i="18"/>
  <c r="W443" i="18"/>
  <c r="W442" i="18"/>
  <c r="W441" i="18"/>
  <c r="W440" i="18"/>
  <c r="W439"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3" i="18"/>
  <c r="W434" i="18"/>
  <c r="W435" i="18"/>
  <c r="W436" i="18"/>
  <c r="W437" i="18"/>
  <c r="W438" i="18"/>
  <c r="S63" i="60" l="1"/>
  <c r="R62" i="60"/>
  <c r="AL457" i="18"/>
  <c r="AM457" i="18" s="1"/>
  <c r="AM458" i="18"/>
  <c r="O454" i="52"/>
  <c r="J454" i="52"/>
  <c r="R61" i="60" l="1"/>
  <c r="S62" i="60"/>
  <c r="W432" i="18"/>
  <c r="G9" i="63"/>
  <c r="H9" i="63"/>
  <c r="R60" i="60" l="1"/>
  <c r="S61" i="60"/>
  <c r="J9" i="63"/>
  <c r="K9" i="63" s="1"/>
  <c r="N10" i="63"/>
  <c r="G127" i="18"/>
  <c r="J127" i="18" s="1"/>
  <c r="G126" i="18"/>
  <c r="J126" i="18" s="1"/>
  <c r="S60" i="60" l="1"/>
  <c r="R59" i="60"/>
  <c r="I130" i="18"/>
  <c r="W431" i="18"/>
  <c r="W430" i="18"/>
  <c r="R58" i="60" l="1"/>
  <c r="S59" i="60"/>
  <c r="W429" i="18"/>
  <c r="W428" i="18"/>
  <c r="S58" i="60" l="1"/>
  <c r="R57" i="60"/>
  <c r="W427" i="18"/>
  <c r="R17" i="63"/>
  <c r="R56" i="60" l="1"/>
  <c r="S57" i="60"/>
  <c r="W426" i="18"/>
  <c r="R55" i="60" l="1"/>
  <c r="S56" i="60"/>
  <c r="W425" i="18"/>
  <c r="R54" i="60" l="1"/>
  <c r="S55" i="60"/>
  <c r="W424" i="18"/>
  <c r="R53" i="60" l="1"/>
  <c r="S54" i="60"/>
  <c r="W423" i="18"/>
  <c r="R52" i="60" l="1"/>
  <c r="S53" i="60"/>
  <c r="W422"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0" i="18"/>
  <c r="R49" i="60" l="1"/>
  <c r="S50" i="60"/>
  <c r="W419" i="18"/>
  <c r="R48" i="60" l="1"/>
  <c r="S49" i="60"/>
  <c r="W418" i="18"/>
  <c r="R47" i="60" l="1"/>
  <c r="S48" i="60"/>
  <c r="W417" i="18"/>
  <c r="R46" i="60" l="1"/>
  <c r="S47" i="60"/>
  <c r="W416" i="18"/>
  <c r="R45" i="60" l="1"/>
  <c r="S46" i="60"/>
  <c r="G1" i="63"/>
  <c r="S45" i="60" l="1"/>
  <c r="R44" i="60"/>
  <c r="N2" i="63"/>
  <c r="W415" i="18"/>
  <c r="S44" i="60" l="1"/>
  <c r="R43" i="60"/>
  <c r="W414" i="18"/>
  <c r="R42" i="60" l="1"/>
  <c r="S43" i="60"/>
  <c r="W413" i="18"/>
  <c r="R18" i="63"/>
  <c r="R41" i="60" l="1"/>
  <c r="S42" i="60"/>
  <c r="W412" i="18"/>
  <c r="R40" i="60" l="1"/>
  <c r="S41" i="60"/>
  <c r="W411" i="18"/>
  <c r="R39" i="60" l="1"/>
  <c r="S40" i="60"/>
  <c r="W410" i="18"/>
  <c r="R38" i="60" l="1"/>
  <c r="S39" i="60"/>
  <c r="W409" i="18"/>
  <c r="R37" i="60" l="1"/>
  <c r="S38" i="60"/>
  <c r="I147" i="18"/>
  <c r="G147" i="18"/>
  <c r="W405" i="18"/>
  <c r="W408" i="18"/>
  <c r="R36" i="60" l="1"/>
  <c r="S37" i="60"/>
  <c r="W407" i="18"/>
  <c r="R35" i="60" l="1"/>
  <c r="S36" i="60"/>
  <c r="W406" i="18"/>
  <c r="R34" i="60" l="1"/>
  <c r="S35" i="60"/>
  <c r="W404" i="18"/>
  <c r="R33" i="60" l="1"/>
  <c r="S34" i="60"/>
  <c r="W403" i="18"/>
  <c r="R32" i="60" l="1"/>
  <c r="S33" i="60"/>
  <c r="W401" i="18"/>
  <c r="W400" i="18"/>
  <c r="W399" i="18"/>
  <c r="W396" i="18"/>
  <c r="W397" i="18"/>
  <c r="W398" i="18"/>
  <c r="W395" i="18"/>
  <c r="W402" i="18"/>
  <c r="R31" i="60" l="1"/>
  <c r="S32" i="60"/>
  <c r="W393" i="18"/>
  <c r="R30" i="60" l="1"/>
  <c r="S31" i="60"/>
  <c r="W392" i="18"/>
  <c r="S30" i="60" l="1"/>
  <c r="R29" i="60"/>
  <c r="R28" i="60" s="1"/>
  <c r="W391" i="18"/>
  <c r="S28" i="60" l="1"/>
  <c r="S29" i="60"/>
  <c r="W390" i="18"/>
  <c r="S142" i="60" l="1"/>
  <c r="W389" i="18"/>
  <c r="W388" i="18" l="1"/>
  <c r="W387"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2" i="63" l="1"/>
  <c r="V521" i="18" l="1"/>
  <c r="R16"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5" i="18"/>
  <c r="L165" i="18"/>
  <c r="W353" i="18"/>
  <c r="AL214" i="18" l="1"/>
  <c r="AM214" i="18" s="1"/>
  <c r="AM215" i="18"/>
  <c r="AM451" i="18"/>
  <c r="AL450" i="18"/>
  <c r="W352" i="18"/>
  <c r="AL449" i="18" l="1"/>
  <c r="AM450" i="18"/>
  <c r="W351"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0" i="18"/>
  <c r="AL443" i="18" l="1"/>
  <c r="AM444" i="18"/>
  <c r="G110" i="18"/>
  <c r="G109" i="18"/>
  <c r="W349" i="18"/>
  <c r="J347" i="52"/>
  <c r="AM443" i="18" l="1"/>
  <c r="AL442" i="18"/>
  <c r="L159" i="18"/>
  <c r="M159" i="18"/>
  <c r="M158" i="18"/>
  <c r="L158"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9" i="18"/>
  <c r="J140" i="18" s="1"/>
  <c r="D413" i="15" l="1"/>
  <c r="F414" i="15"/>
  <c r="D412" i="15" l="1"/>
  <c r="F413" i="15"/>
  <c r="W337" i="18"/>
  <c r="O301" i="52"/>
  <c r="J139" i="18"/>
  <c r="J142" i="18" l="1"/>
  <c r="L48" i="18" s="1"/>
  <c r="F412" i="15"/>
  <c r="D411" i="15"/>
  <c r="I142"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23" i="18" l="1"/>
  <c r="T525" i="18" s="1"/>
  <c r="D405" i="15"/>
  <c r="F406" i="15"/>
  <c r="W325" i="18"/>
  <c r="J296" i="52"/>
  <c r="D404" i="15" l="1"/>
  <c r="F405" i="15"/>
  <c r="J295" i="52"/>
  <c r="F404" i="15" l="1"/>
  <c r="D403" i="15"/>
  <c r="W324"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6" i="18"/>
  <c r="N54"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9" i="18"/>
  <c r="G148" i="18" s="1"/>
  <c r="W279" i="18"/>
  <c r="O177" i="52"/>
  <c r="J177" i="52"/>
  <c r="M109" i="18" l="1"/>
  <c r="G149"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8"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6" i="18"/>
  <c r="L111" i="18" l="1"/>
  <c r="N111" i="18" s="1"/>
  <c r="L113" i="18"/>
  <c r="N113" i="18" s="1"/>
  <c r="L112" i="18"/>
  <c r="N112" i="18" s="1"/>
  <c r="M116" i="18"/>
  <c r="AM331" i="18"/>
  <c r="AL330" i="18"/>
  <c r="L108" i="18"/>
  <c r="W211" i="18"/>
  <c r="W210"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9"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5"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1" i="18"/>
  <c r="R204" i="18" s="1"/>
  <c r="T505" i="18" s="1"/>
  <c r="V508" i="18" s="1"/>
  <c r="AJ276" i="18"/>
  <c r="AJ277" i="18" s="1"/>
  <c r="G305" i="20"/>
  <c r="I306" i="20"/>
  <c r="K306" i="20"/>
  <c r="J306" i="20"/>
  <c r="AL74" i="18"/>
  <c r="AM75" i="18"/>
  <c r="S65" i="18" l="1"/>
  <c r="S66" i="18" s="1"/>
  <c r="S67" i="18" s="1"/>
  <c r="U518" i="18"/>
  <c r="V518" i="18" s="1"/>
  <c r="G304" i="20"/>
  <c r="I305" i="20"/>
  <c r="K305" i="20"/>
  <c r="J305" i="20"/>
  <c r="AL73" i="18"/>
  <c r="AM74" i="18"/>
  <c r="R112" i="18"/>
  <c r="S68" i="18" l="1"/>
  <c r="V155" i="18"/>
  <c r="V156"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6" i="18"/>
  <c r="X156" i="18"/>
  <c r="W155" i="18"/>
  <c r="X155" i="18"/>
  <c r="W67" i="18"/>
  <c r="X67" i="18"/>
  <c r="W172"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68" i="18" l="1"/>
  <c r="S70" i="18"/>
  <c r="V69" i="18"/>
  <c r="W171" i="18"/>
  <c r="X165" i="18" s="1"/>
  <c r="W173" i="18"/>
  <c r="W174" i="18" s="1"/>
  <c r="N63" i="18"/>
  <c r="G150" i="18"/>
  <c r="I150" i="18"/>
  <c r="I151" i="18"/>
  <c r="G151" i="18"/>
  <c r="L21" i="18"/>
  <c r="G301" i="20"/>
  <c r="I302" i="20"/>
  <c r="K302" i="20"/>
  <c r="J302" i="20"/>
  <c r="AL70" i="18"/>
  <c r="AM71" i="18"/>
  <c r="W69" i="18" l="1"/>
  <c r="X69" i="18"/>
  <c r="S71" i="18"/>
  <c r="V70" i="18"/>
  <c r="X168" i="18"/>
  <c r="X166" i="18"/>
  <c r="X167"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S149" i="18"/>
  <c r="W146" i="18"/>
  <c r="X146" i="18"/>
  <c r="X147" i="18"/>
  <c r="W144" i="18"/>
  <c r="X144" i="18"/>
  <c r="V145" i="18"/>
  <c r="G5" i="20"/>
  <c r="K6" i="20"/>
  <c r="J6" i="20"/>
  <c r="I6" i="20"/>
  <c r="V149" i="18" l="1"/>
  <c r="S150" i="18"/>
  <c r="W149" i="18"/>
  <c r="X149" i="18"/>
  <c r="W145" i="18"/>
  <c r="X145" i="18"/>
  <c r="G4" i="20"/>
  <c r="I5" i="20"/>
  <c r="J5" i="20"/>
  <c r="K5" i="20"/>
  <c r="V150" i="18" l="1"/>
  <c r="S151" i="18"/>
  <c r="W150" i="18"/>
  <c r="X150" i="18"/>
  <c r="V148" i="18"/>
  <c r="G3" i="20"/>
  <c r="I4" i="20"/>
  <c r="J4" i="20"/>
  <c r="K4" i="20"/>
  <c r="S152" i="18" l="1"/>
  <c r="V151" i="18"/>
  <c r="W148" i="18"/>
  <c r="X148" i="18"/>
  <c r="G2" i="20"/>
  <c r="J3" i="20"/>
  <c r="K3" i="20"/>
  <c r="I3" i="20"/>
  <c r="V152" i="18" l="1"/>
  <c r="S153" i="18"/>
  <c r="V153" i="18" s="1"/>
  <c r="W151" i="18"/>
  <c r="X151" i="18"/>
  <c r="X152" i="18"/>
  <c r="W152" i="18"/>
  <c r="K2" i="20"/>
  <c r="K371" i="20" s="1"/>
  <c r="I2" i="20"/>
  <c r="I371" i="20" s="1"/>
  <c r="I374" i="20" s="1"/>
  <c r="J2" i="20"/>
  <c r="J371" i="20" s="1"/>
  <c r="W153" i="18" l="1"/>
  <c r="X153" i="18"/>
  <c r="J374" i="20"/>
  <c r="J378" i="20"/>
  <c r="K374" i="20"/>
  <c r="K378" i="20"/>
</calcChain>
</file>

<file path=xl/sharedStrings.xml><?xml version="1.0" encoding="utf-8"?>
<sst xmlns="http://schemas.openxmlformats.org/spreadsheetml/2006/main" count="15653" uniqueCount="6543">
  <si>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</si>
  <si>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</si>
  <si>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</si>
  <si>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</si>
  <si>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</si>
  <si>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</si>
  <si>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</si>
  <si>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</si>
  <si>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</si>
  <si>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</si>
  <si>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</si>
  <si>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</si>
  <si>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</si>
  <si>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</si>
  <si>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</si>
  <si>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</si>
  <si>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</si>
  <si>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</si>
  <si>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</si>
  <si>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</si>
  <si>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</si>
  <si>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</si>
  <si>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</si>
  <si>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</si>
  <si>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</si>
  <si>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</si>
  <si>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</si>
  <si>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</si>
  <si>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</si>
  <si>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</si>
  <si>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</si>
  <si>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</si>
  <si>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</si>
  <si>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</si>
  <si>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</si>
  <si>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</si>
  <si>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</si>
  <si>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</si>
  <si>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</si>
  <si>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</si>
  <si>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</si>
  <si>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</si>
  <si>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</si>
  <si>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</si>
  <si>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</si>
  <si>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</si>
  <si>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</si>
  <si>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</si>
  <si>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</si>
  <si>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</si>
  <si>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</si>
  <si>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</si>
  <si>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</si>
  <si>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</si>
  <si>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</si>
  <si>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</si>
  <si>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</si>
  <si>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</si>
  <si>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</si>
  <si>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</si>
  <si>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</si>
  <si>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</si>
  <si>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</si>
  <si>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</si>
  <si>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</si>
  <si>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</si>
  <si>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</si>
  <si>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</si>
  <si>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</si>
  <si>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</si>
  <si>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</si>
  <si>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</si>
  <si>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</si>
  <si>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</si>
  <si>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</si>
  <si>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</si>
  <si>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</si>
  <si>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</si>
  <si>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</si>
  <si>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</si>
  <si>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</si>
  <si>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</si>
  <si>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</si>
  <si>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</si>
  <si>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</si>
  <si>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</si>
  <si>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</si>
  <si>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</si>
  <si>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</si>
  <si>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</si>
  <si>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</si>
  <si>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</si>
  <si>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</si>
  <si>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</si>
  <si>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</si>
  <si>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</si>
  <si>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</si>
  <si>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</si>
  <si>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</si>
  <si>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</si>
  <si>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</si>
  <si>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</si>
  <si>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</si>
  <si>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</si>
  <si>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</si>
  <si>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</si>
  <si>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</si>
  <si>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</si>
  <si>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</si>
  <si>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</si>
  <si>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</si>
  <si>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</si>
  <si>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</si>
  <si>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</si>
  <si>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</si>
  <si>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</si>
  <si>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</si>
  <si>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</si>
  <si>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</si>
  <si>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</si>
  <si>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</si>
  <si>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</si>
  <si>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</si>
  <si>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</si>
  <si>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</si>
  <si>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</si>
  <si>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</si>
  <si>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</si>
  <si>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</si>
  <si>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</si>
  <si>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</si>
  <si>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</si>
  <si>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</si>
  <si>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</si>
  <si>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</si>
  <si>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</si>
  <si>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</si>
  <si>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</si>
  <si>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</si>
  <si>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</si>
  <si>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</si>
  <si>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</si>
  <si>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</si>
  <si>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</si>
  <si>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</si>
  <si>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</si>
  <si>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</si>
  <si>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</si>
  <si>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</si>
  <si>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</si>
  <si>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</si>
  <si>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</si>
  <si>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</si>
  <si>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</si>
  <si>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</si>
  <si>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</si>
  <si>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</si>
  <si>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</si>
  <si>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</si>
  <si>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</si>
  <si>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</si>
  <si>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</si>
  <si>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</si>
  <si>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</si>
  <si>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</si>
  <si>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</si>
  <si>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</si>
  <si>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</si>
  <si>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</si>
  <si>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</si>
  <si>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</si>
  <si>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</si>
  <si>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</si>
  <si>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</si>
  <si>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</si>
  <si>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</si>
  <si>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</si>
  <si>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</si>
  <si>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</si>
  <si>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</si>
  <si>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</si>
  <si>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</si>
  <si>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</si>
  <si>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</si>
  <si>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</si>
  <si>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</si>
  <si>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</si>
  <si>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</si>
  <si>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</si>
  <si>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</si>
  <si>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</si>
  <si>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</si>
  <si>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</si>
  <si>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</si>
  <si>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</si>
  <si>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</si>
  <si>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</si>
  <si>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</si>
  <si>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</si>
  <si>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</si>
  <si>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</si>
  <si>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</si>
  <si>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</si>
  <si>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</si>
  <si>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</si>
  <si>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</si>
  <si>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</si>
  <si>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</si>
  <si>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</si>
  <si>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</si>
  <si>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</si>
  <si>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</si>
  <si>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</si>
  <si>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</si>
  <si>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</si>
  <si>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</si>
  <si>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</si>
  <si>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</si>
  <si>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</si>
  <si>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</si>
  <si>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</si>
  <si>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</si>
  <si>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</si>
  <si>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</si>
  <si>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</si>
  <si>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</si>
  <si>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</si>
  <si>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</si>
  <si>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</si>
  <si>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</si>
  <si>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</si>
  <si>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</si>
  <si>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</si>
  <si>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</si>
  <si>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</si>
  <si>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</si>
  <si>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</si>
  <si>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</si>
  <si>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</si>
  <si>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</si>
  <si>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</si>
  <si>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</si>
  <si>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</si>
  <si>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</si>
  <si>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</si>
  <si>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</si>
  <si>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</si>
  <si>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</si>
  <si>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</si>
  <si>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</si>
  <si>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</si>
  <si>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</si>
  <si>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</si>
  <si>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</si>
  <si>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</si>
  <si>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</si>
  <si>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</si>
  <si>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</si>
  <si>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</si>
  <si>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</si>
  <si>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</si>
  <si>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</si>
  <si>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</si>
  <si>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</si>
  <si>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</si>
  <si>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</si>
  <si>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</si>
  <si>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</si>
  <si>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</si>
  <si>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</si>
  <si>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</si>
  <si>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</si>
  <si>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</si>
  <si>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</si>
  <si>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</si>
  <si>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</si>
  <si>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</si>
  <si>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</si>
  <si>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</si>
  <si>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</si>
  <si>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</si>
  <si>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</si>
  <si>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</si>
  <si>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</si>
  <si>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</si>
  <si>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</si>
  <si>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</si>
  <si>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</si>
  <si>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</si>
  <si>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</si>
  <si>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</si>
  <si>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</si>
  <si>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</si>
  <si>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</si>
  <si>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</si>
  <si>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</si>
  <si>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</si>
  <si>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</si>
  <si>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</si>
  <si>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</si>
  <si>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</si>
  <si>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</si>
  <si>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</si>
  <si>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</si>
  <si>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</si>
  <si>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</si>
  <si>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</si>
  <si>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</si>
  <si>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</si>
  <si>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</si>
  <si>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</si>
  <si>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</si>
  <si>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</si>
  <si>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</si>
  <si>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</si>
  <si>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</si>
  <si>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</si>
  <si>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</si>
  <si>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</si>
  <si>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</si>
  <si>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</si>
  <si>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</si>
  <si>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</si>
  <si>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</si>
  <si>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</si>
  <si>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</si>
  <si>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</si>
  <si>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</si>
  <si>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</si>
  <si>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</si>
  <si>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</si>
  <si>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</si>
  <si>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</si>
  <si>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</si>
  <si>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</si>
  <si>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</si>
  <si>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</si>
  <si>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</si>
  <si>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</si>
  <si>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</si>
  <si>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</si>
  <si>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</si>
  <si>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</si>
  <si>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</si>
  <si>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</si>
  <si>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</si>
  <si>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</si>
  <si>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</si>
  <si>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</si>
  <si>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</si>
  <si>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</si>
  <si>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</si>
  <si>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</si>
  <si>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</si>
  <si>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</si>
  <si>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</si>
  <si>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</si>
  <si>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</si>
  <si>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</si>
  <si>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</si>
  <si>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</si>
  <si>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</si>
  <si>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</si>
  <si>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</si>
  <si>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</si>
  <si>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</si>
  <si>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</si>
  <si>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</si>
  <si>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</si>
  <si>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</si>
  <si>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</si>
  <si>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</si>
  <si>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</si>
  <si>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</si>
  <si>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</si>
  <si>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</si>
  <si>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</si>
  <si>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</si>
  <si>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</si>
  <si>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</si>
  <si>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</si>
  <si>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</si>
  <si>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</si>
  <si>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</si>
  <si>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</si>
  <si>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</si>
  <si>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</si>
  <si>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</si>
  <si>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</si>
  <si>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</si>
  <si>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</si>
  <si>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</si>
  <si>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</si>
  <si>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</si>
  <si>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</si>
  <si>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</si>
  <si>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</si>
  <si>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</si>
  <si>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</si>
  <si>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</si>
  <si>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</si>
  <si>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</si>
  <si>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</si>
  <si>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</si>
  <si>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</si>
  <si>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</si>
  <si>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</si>
  <si>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</si>
  <si>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</si>
  <si>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</si>
  <si>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</si>
  <si>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</si>
  <si>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</si>
  <si>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</si>
  <si>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</si>
  <si>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</si>
  <si>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</si>
  <si>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</si>
  <si>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</si>
  <si>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</si>
  <si>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</si>
  <si>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</si>
  <si>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</si>
  <si>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</si>
  <si>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</si>
  <si>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</si>
  <si>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</si>
  <si>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</si>
  <si>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</si>
  <si>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</si>
  <si>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</si>
  <si>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</si>
  <si>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</si>
  <si>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</si>
  <si>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</si>
  <si>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</si>
  <si>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</si>
  <si>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</si>
  <si>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</si>
  <si>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</si>
  <si>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</si>
  <si>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</si>
  <si>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</si>
  <si>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</si>
  <si>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</si>
  <si>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</si>
  <si>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</si>
  <si>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</si>
  <si>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</si>
  <si>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</si>
  <si>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</si>
  <si>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</si>
  <si>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</si>
  <si>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</si>
  <si>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</si>
  <si>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</si>
  <si>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</si>
  <si>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</si>
  <si>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</si>
  <si>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</si>
  <si>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</si>
  <si>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</si>
  <si>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</si>
  <si>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</si>
  <si>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</si>
  <si>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</si>
  <si>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</si>
  <si>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</si>
  <si>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</si>
  <si>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</si>
  <si>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</si>
  <si>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</si>
  <si>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</si>
  <si>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</si>
  <si>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</si>
  <si>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</si>
  <si>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</si>
  <si>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</si>
  <si>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</si>
  <si>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</si>
  <si>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</si>
  <si>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</si>
  <si>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</si>
  <si>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</si>
  <si>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</si>
  <si>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</si>
  <si>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</si>
  <si>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</si>
  <si>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</si>
  <si>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</si>
  <si>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</si>
  <si>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</si>
  <si>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</si>
  <si>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</si>
  <si>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</si>
  <si>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</si>
  <si>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</si>
  <si>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</si>
  <si>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</si>
  <si>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</si>
  <si>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</si>
  <si>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</si>
  <si>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</si>
  <si>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</si>
  <si>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</si>
  <si>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</si>
  <si>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</si>
  <si>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</si>
  <si>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</si>
  <si>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</si>
  <si>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</si>
  <si>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</si>
  <si>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</si>
  <si>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</si>
  <si>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</si>
  <si>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</si>
  <si>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</si>
  <si>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</si>
  <si>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</si>
  <si>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</si>
  <si>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</si>
  <si>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</si>
  <si>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</si>
  <si>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</si>
  <si>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</si>
  <si>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</si>
  <si>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</si>
  <si>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</si>
  <si>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</si>
  <si>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</si>
  <si>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</si>
  <si>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</si>
  <si>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</si>
  <si>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</si>
  <si>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</si>
  <si>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</si>
  <si>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</si>
  <si>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</si>
  <si>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</si>
  <si>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</si>
  <si>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</si>
  <si>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</si>
  <si>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</si>
  <si>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</si>
  <si>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</si>
  <si>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</si>
  <si>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</si>
  <si>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</si>
  <si>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</si>
  <si>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</si>
  <si>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</si>
  <si>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</si>
  <si>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</si>
  <si>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</si>
  <si>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</si>
  <si>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</si>
  <si>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</si>
  <si>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</si>
  <si>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</si>
  <si>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</si>
  <si>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</si>
  <si>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</si>
  <si>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</si>
  <si>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</si>
  <si>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</si>
  <si>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</si>
  <si>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</si>
  <si>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</si>
  <si>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</si>
  <si>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</si>
  <si>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</si>
  <si>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</si>
  <si>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</si>
  <si>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</si>
  <si>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</si>
  <si>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</si>
  <si>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</si>
  <si>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</si>
  <si>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</si>
  <si>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</si>
  <si>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</si>
  <si>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</si>
  <si>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</si>
  <si>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</si>
  <si>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</si>
  <si>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</si>
  <si>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</si>
  <si>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</si>
  <si>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</si>
  <si>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</si>
  <si>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</si>
  <si>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</si>
  <si>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</si>
  <si>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</si>
  <si>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</si>
  <si>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</si>
  <si>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</si>
  <si>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</si>
  <si>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</si>
  <si>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</si>
  <si>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</si>
  <si>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</si>
  <si>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</si>
  <si>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</si>
  <si>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</si>
  <si>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</si>
  <si>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</si>
  <si>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</si>
  <si>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</si>
  <si>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</si>
  <si>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</si>
  <si>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</si>
  <si>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</si>
  <si>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</si>
  <si>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</si>
  <si>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</si>
  <si>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</si>
  <si>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</si>
  <si>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</si>
  <si>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</si>
  <si>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</si>
  <si>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</si>
  <si>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</si>
  <si>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</si>
  <si>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</si>
  <si>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</si>
  <si>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</si>
  <si>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</si>
  <si>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</si>
  <si>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</si>
  <si>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</si>
  <si>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</si>
  <si>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</si>
  <si>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</si>
  <si>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</si>
  <si>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</si>
  <si>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</si>
  <si>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</si>
  <si>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</si>
  <si>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</si>
  <si>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</si>
  <si>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</si>
  <si>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</si>
  <si>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</si>
  <si>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</si>
  <si>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</si>
  <si>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</si>
  <si>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</si>
  <si>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</si>
  <si>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</si>
  <si>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</si>
  <si>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</si>
  <si>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</si>
  <si>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</si>
  <si>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</si>
  <si>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</si>
  <si>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</si>
  <si>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</si>
  <si>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</si>
  <si>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</si>
  <si>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</si>
  <si>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</si>
  <si>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</si>
  <si>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</si>
  <si>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</si>
  <si>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</si>
  <si>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</si>
  <si>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</si>
  <si>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</si>
  <si>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</si>
  <si>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</si>
  <si>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</si>
  <si>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</si>
  <si>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</si>
  <si>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</si>
  <si>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</si>
  <si>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</si>
  <si>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</si>
  <si>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</si>
  <si>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</si>
  <si>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</si>
  <si>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</si>
  <si>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</si>
  <si>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</si>
  <si>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</si>
  <si>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</si>
  <si>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</si>
  <si>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</si>
  <si>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</si>
  <si>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</si>
  <si>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</si>
  <si>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</si>
  <si>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</si>
  <si>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</si>
  <si>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</si>
  <si>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</si>
  <si>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</si>
  <si>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</si>
  <si>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</si>
  <si>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</si>
  <si>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</si>
  <si>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</si>
  <si>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</si>
  <si>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</si>
  <si>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</si>
  <si>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</si>
  <si>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</si>
  <si>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</si>
  <si>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</si>
  <si>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</si>
  <si>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</si>
  <si>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</si>
  <si>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</si>
  <si>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</si>
  <si>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</si>
  <si>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</si>
  <si>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</si>
  <si>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</si>
  <si>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</si>
  <si>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</si>
  <si>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</si>
  <si>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</si>
  <si>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</si>
  <si>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</si>
  <si>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</si>
  <si>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</si>
  <si>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</si>
  <si>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</si>
  <si>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</si>
  <si>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</si>
  <si>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</si>
  <si>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</si>
  <si>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</si>
  <si>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</si>
  <si>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</si>
  <si>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</si>
  <si>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</si>
  <si>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</si>
  <si>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</si>
  <si>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</si>
  <si>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</si>
  <si>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</si>
  <si>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</si>
  <si>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</si>
  <si>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</si>
  <si>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</si>
  <si>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</si>
  <si>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</si>
  <si>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</si>
  <si>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</si>
  <si>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</si>
  <si>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</si>
  <si>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</si>
  <si>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</si>
  <si>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</si>
  <si>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</si>
  <si>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</si>
  <si>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</si>
  <si>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</si>
  <si>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</si>
  <si>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</si>
  <si>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</si>
  <si>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</si>
  <si>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</si>
  <si>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</si>
  <si>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</si>
  <si>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</si>
  <si>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</si>
  <si>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</si>
  <si>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</si>
  <si>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</si>
  <si>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</si>
  <si>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</si>
  <si>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</si>
  <si>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</si>
  <si>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</si>
  <si>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</si>
  <si>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</si>
  <si>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</si>
  <si>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</si>
  <si>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</si>
  <si>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</si>
  <si>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</si>
  <si>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</si>
  <si>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</si>
  <si>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</si>
  <si>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</si>
  <si>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</si>
  <si>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</si>
  <si>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</si>
  <si>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</si>
  <si>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</si>
  <si>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</si>
  <si>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</si>
  <si>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</si>
  <si>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</si>
  <si>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</si>
  <si>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</si>
  <si>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</si>
  <si>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</si>
  <si>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</si>
  <si>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</si>
  <si>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</si>
  <si>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</si>
  <si>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</si>
  <si>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</si>
  <si>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</si>
  <si>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</si>
  <si>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</si>
  <si>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</si>
  <si>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</si>
  <si>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</si>
  <si>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</si>
  <si>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</si>
  <si>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</si>
  <si>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</si>
  <si>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</si>
  <si>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</si>
  <si>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</si>
  <si>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</si>
  <si>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</si>
  <si>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</si>
  <si>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</si>
  <si>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</si>
  <si>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</si>
  <si>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</si>
  <si>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</si>
  <si>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</si>
  <si>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</si>
  <si>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</si>
  <si>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</si>
  <si>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</si>
  <si>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</si>
  <si>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</si>
  <si>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</si>
  <si>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</si>
  <si>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</si>
  <si>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</si>
  <si>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</si>
  <si>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</si>
  <si>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</si>
  <si>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</si>
  <si>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</si>
  <si>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</si>
  <si>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</si>
  <si>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</si>
  <si>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</si>
  <si>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</si>
  <si>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</si>
  <si>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</si>
  <si>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</si>
  <si>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</si>
  <si>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</si>
  <si>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</si>
  <si>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</si>
  <si>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</si>
  <si>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</si>
  <si>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</si>
  <si>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</si>
  <si>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</si>
  <si>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</si>
  <si>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</si>
  <si>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</si>
  <si>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</si>
  <si>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</si>
  <si>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</si>
  <si>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</si>
  <si>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</si>
  <si>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</si>
  <si>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</si>
  <si>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</si>
  <si>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</si>
  <si>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</si>
  <si>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</si>
  <si>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</si>
  <si>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</si>
  <si>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</si>
  <si>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</si>
  <si>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</si>
  <si>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</si>
  <si>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</si>
  <si>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</si>
  <si>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</si>
  <si>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</si>
  <si>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</si>
  <si>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</si>
  <si>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</si>
  <si>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</si>
  <si>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</si>
  <si>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</si>
  <si>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</si>
  <si>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</si>
  <si>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</si>
  <si>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</si>
  <si>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</si>
  <si>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</si>
  <si>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</si>
  <si>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</si>
  <si>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</si>
  <si>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</si>
  <si>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</si>
  <si>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</si>
  <si>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</si>
  <si>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</si>
  <si>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</si>
  <si>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</si>
  <si>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</si>
  <si>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</si>
  <si>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</si>
  <si>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</si>
  <si>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</si>
  <si>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</si>
  <si>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</si>
  <si>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</si>
  <si>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</si>
  <si>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</si>
  <si>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</si>
  <si>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</si>
  <si>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</si>
  <si>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</si>
  <si>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</si>
  <si>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</si>
  <si>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</si>
  <si>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</si>
  <si>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</si>
  <si>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</si>
  <si>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</si>
  <si>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</si>
  <si>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</si>
  <si>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</si>
  <si>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</si>
  <si>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</si>
  <si>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</si>
  <si>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</si>
  <si>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</si>
  <si>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</si>
  <si>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</si>
  <si>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</si>
  <si>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</si>
  <si>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</si>
  <si>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</si>
  <si>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</si>
  <si>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</si>
  <si>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</si>
  <si>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</si>
  <si>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</si>
  <si>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</si>
  <si>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</si>
  <si>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</si>
  <si>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</si>
  <si>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</si>
  <si>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</si>
  <si>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</si>
  <si>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</si>
  <si>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</si>
  <si>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</si>
  <si>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</si>
  <si>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</si>
  <si>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</si>
  <si>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</si>
  <si>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</si>
  <si>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</si>
  <si>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</si>
  <si>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</si>
  <si>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</si>
  <si>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</si>
  <si>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</si>
  <si>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</si>
  <si>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</si>
  <si>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</si>
  <si>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</si>
  <si>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</si>
  <si>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</si>
  <si>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</si>
  <si>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</si>
  <si>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</si>
  <si>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</si>
  <si>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</si>
  <si>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</si>
  <si>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</si>
  <si>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</si>
  <si>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</si>
  <si>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</si>
  <si>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</si>
  <si>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</si>
  <si>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</si>
  <si>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</si>
  <si>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</si>
  <si>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</si>
  <si>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</si>
  <si>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</si>
  <si>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</si>
  <si>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</si>
  <si>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</si>
  <si>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</si>
  <si>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</si>
  <si>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</si>
  <si>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</si>
  <si>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</si>
  <si>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</si>
  <si>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</si>
  <si>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</si>
  <si>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</si>
  <si>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</si>
  <si>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</si>
  <si>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</si>
  <si>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</si>
  <si>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</si>
  <si>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</si>
  <si>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</si>
  <si>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</si>
  <si>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</si>
  <si>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</si>
  <si>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</si>
  <si>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</si>
  <si>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</si>
  <si>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</si>
  <si>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</si>
  <si>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</si>
  <si>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</si>
  <si>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</si>
  <si>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</si>
  <si>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</si>
  <si>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</si>
  <si>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</si>
  <si>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</si>
  <si>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</si>
  <si>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</si>
  <si>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</si>
  <si>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</si>
  <si>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</si>
  <si>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</si>
  <si>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</si>
  <si>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</si>
  <si>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</si>
  <si>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</si>
  <si>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</si>
  <si>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</si>
  <si>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</si>
  <si>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</si>
  <si>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</si>
  <si>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</si>
  <si>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</si>
  <si>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</si>
  <si>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</si>
  <si>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</si>
  <si>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</si>
  <si>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</si>
  <si>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</si>
  <si>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</si>
  <si>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</si>
  <si>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</si>
  <si>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</si>
  <si>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</si>
  <si>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</si>
  <si>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</si>
  <si>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</si>
  <si>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</si>
  <si>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</si>
  <si>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</si>
  <si>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</si>
  <si>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</si>
  <si>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</si>
  <si>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</si>
  <si>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</si>
  <si>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</si>
  <si>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</si>
  <si>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</si>
  <si>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</si>
  <si>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</si>
  <si>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</si>
  <si>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</si>
  <si>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</si>
  <si>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</si>
  <si>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</si>
  <si>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</si>
  <si>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</si>
  <si>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</si>
  <si>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</si>
  <si>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</si>
  <si>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</si>
  <si>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</si>
  <si>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</si>
  <si>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</si>
  <si>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</si>
  <si>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</si>
  <si>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</si>
  <si>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</si>
  <si>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</si>
  <si>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</si>
  <si>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</si>
  <si>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</si>
  <si>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</si>
  <si>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</si>
  <si>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</si>
  <si>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</si>
  <si>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</si>
  <si>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</si>
  <si>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</si>
  <si>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</si>
  <si>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</si>
  <si>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</si>
  <si>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</si>
  <si>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</si>
  <si>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</si>
  <si>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</si>
  <si>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</si>
  <si>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</si>
  <si>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</si>
  <si>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</si>
  <si>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</si>
  <si>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</si>
  <si>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</si>
  <si>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</si>
  <si>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</si>
  <si>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</si>
  <si>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</si>
  <si>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</si>
  <si>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</si>
  <si>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</si>
  <si>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</si>
  <si>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</si>
  <si>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</si>
  <si>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</si>
  <si>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</si>
  <si>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</si>
  <si>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</si>
  <si>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</si>
  <si>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</si>
  <si>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</si>
  <si>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</si>
  <si>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</si>
  <si>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</si>
  <si>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</si>
  <si>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</si>
  <si>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</si>
  <si>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</si>
  <si>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</si>
  <si>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</si>
  <si>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</si>
  <si>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</si>
  <si>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</si>
  <si>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</si>
  <si>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</si>
  <si>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</si>
  <si>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</si>
  <si>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</si>
  <si>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</si>
  <si>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</si>
  <si>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</si>
  <si>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</si>
  <si>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</si>
  <si>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</si>
  <si>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</si>
  <si>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</si>
  <si>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</si>
  <si>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</si>
  <si>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</si>
  <si>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</si>
  <si>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</si>
  <si>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</si>
  <si>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</si>
  <si>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</si>
  <si>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</si>
  <si>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</si>
  <si>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</si>
  <si>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</si>
  <si>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</si>
  <si>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</si>
  <si>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</si>
  <si>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</si>
  <si>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</si>
  <si>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</si>
  <si>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</si>
  <si>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</si>
  <si>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</si>
  <si>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</si>
  <si>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</si>
  <si>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</si>
  <si>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</si>
  <si>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</si>
  <si>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</si>
  <si>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</si>
  <si>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</si>
  <si>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</si>
  <si>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</si>
  <si>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</si>
  <si>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</si>
  <si>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</si>
  <si>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</si>
  <si>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</si>
  <si>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</si>
  <si>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</si>
  <si>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</si>
  <si>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</si>
  <si>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</si>
  <si>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</si>
  <si>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</si>
  <si>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</si>
  <si>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</si>
  <si>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</si>
  <si>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</si>
  <si>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</si>
  <si>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</si>
  <si>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</si>
  <si>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</si>
  <si>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</si>
  <si>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</si>
  <si>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</si>
  <si>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</si>
  <si>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</si>
  <si>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</si>
  <si>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</si>
  <si>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</si>
  <si>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</si>
  <si>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</si>
  <si>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</si>
  <si>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</si>
  <si>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</si>
  <si>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</si>
  <si>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</si>
  <si>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</si>
  <si>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</si>
  <si>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</si>
  <si>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</si>
  <si>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</si>
  <si>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</si>
  <si>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</si>
  <si>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</si>
  <si>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</si>
  <si>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</si>
  <si>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</si>
  <si>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</si>
  <si>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</si>
  <si>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</si>
  <si>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</si>
  <si>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</si>
  <si>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</si>
  <si>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</si>
  <si>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</si>
  <si>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</si>
  <si>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</si>
  <si>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</si>
  <si>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</si>
  <si>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</si>
  <si>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</si>
  <si>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</si>
  <si>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</si>
  <si>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</si>
  <si>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</si>
  <si>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</si>
  <si>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</si>
  <si>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</si>
  <si>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</si>
  <si>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</si>
  <si>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</si>
  <si>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</si>
  <si>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</si>
  <si>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</si>
  <si>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</si>
  <si>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</si>
  <si>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</si>
  <si>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</si>
  <si>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</si>
  <si>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</si>
  <si>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</si>
  <si>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</si>
  <si>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</si>
  <si>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</si>
  <si>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</si>
  <si>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</si>
  <si>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</si>
  <si>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</si>
  <si>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</si>
  <si>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</si>
  <si>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</si>
  <si>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</si>
  <si>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</si>
  <si>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</si>
  <si>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</si>
  <si>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</si>
  <si>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</si>
  <si>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</si>
  <si>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</si>
  <si>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</si>
  <si>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</si>
  <si>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</si>
  <si>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</si>
  <si>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</si>
  <si>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</si>
  <si>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</si>
  <si>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</si>
  <si>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</si>
  <si>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</si>
  <si>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</si>
  <si>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</si>
  <si>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</si>
  <si>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</si>
  <si>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</si>
  <si>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</si>
  <si>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</si>
  <si>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</si>
  <si>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</si>
  <si>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</si>
  <si>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</si>
  <si>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</si>
  <si>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</si>
  <si>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</si>
  <si>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</si>
  <si>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</si>
  <si>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</si>
  <si>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</si>
  <si>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</si>
  <si>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</si>
  <si>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</si>
  <si>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</si>
  <si>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</si>
  <si>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</si>
  <si>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</si>
  <si>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</si>
  <si>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</si>
  <si>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</si>
  <si>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</si>
  <si>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</si>
  <si>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</si>
  <si>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</si>
  <si>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</si>
  <si>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</si>
  <si>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</si>
  <si>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</si>
  <si>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</si>
  <si>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</si>
  <si>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</si>
  <si>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</si>
  <si>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</si>
  <si>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</si>
  <si>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</si>
  <si>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</si>
  <si>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</si>
  <si>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</si>
  <si>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</si>
  <si>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</si>
  <si>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</si>
  <si>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</si>
  <si>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</si>
  <si>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</si>
  <si>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</si>
  <si>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</si>
  <si>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</si>
  <si>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</si>
  <si>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</si>
  <si>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</si>
  <si>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</si>
  <si>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</si>
  <si>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</si>
  <si>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</si>
  <si>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</si>
  <si>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</si>
  <si>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</si>
  <si>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</si>
  <si>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</si>
  <si>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</si>
  <si>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</si>
  <si>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</si>
  <si>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</si>
  <si>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</si>
  <si>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</si>
  <si>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</si>
  <si>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</si>
  <si>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</si>
  <si>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</si>
  <si>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</si>
  <si>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</si>
  <si>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</si>
  <si>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</si>
  <si>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</si>
  <si>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</si>
  <si>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</si>
  <si>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</si>
  <si>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</si>
  <si>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</si>
  <si>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</si>
  <si>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</si>
  <si>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</si>
  <si>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</si>
  <si>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</si>
  <si>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</si>
  <si>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</si>
  <si>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</si>
  <si>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</si>
  <si>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</si>
  <si>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</si>
  <si>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</si>
  <si>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</si>
  <si>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</si>
  <si>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</si>
  <si>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</si>
  <si>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</si>
  <si>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</si>
  <si>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</si>
  <si>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</si>
  <si>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</si>
  <si>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</si>
  <si>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</si>
  <si>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</si>
  <si>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</si>
  <si>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</si>
  <si>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</si>
  <si>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</si>
  <si>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</si>
  <si>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</si>
  <si>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</si>
  <si>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</si>
  <si>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</si>
  <si>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</si>
  <si>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</si>
  <si>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</si>
  <si>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</si>
  <si>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</si>
  <si>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</si>
  <si>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</si>
  <si>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</si>
  <si>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</si>
  <si>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</si>
  <si>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</si>
  <si>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</si>
  <si>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</si>
  <si>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</si>
  <si>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</si>
  <si>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</si>
  <si>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</si>
  <si>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</si>
  <si>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</si>
  <si>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</si>
  <si>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</si>
  <si>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</si>
  <si>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</si>
  <si>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</si>
  <si>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</si>
  <si>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</si>
  <si>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</si>
  <si>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</si>
  <si>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</si>
  <si>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</si>
  <si>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</si>
  <si>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</si>
  <si>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</si>
  <si>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</si>
  <si>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</si>
  <si>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</si>
  <si>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</si>
  <si>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</si>
  <si>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</si>
  <si>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</si>
  <si>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</si>
  <si>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</si>
  <si>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</si>
  <si>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</si>
  <si>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</si>
  <si>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</si>
  <si>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</si>
  <si>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</si>
  <si>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</si>
  <si>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</si>
  <si>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</si>
  <si>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</si>
  <si>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</si>
  <si>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</si>
  <si>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</si>
  <si>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</si>
  <si>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</si>
  <si>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</si>
  <si>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</si>
  <si>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</si>
  <si>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</si>
  <si>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</si>
  <si>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</si>
  <si>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</si>
  <si>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</si>
  <si>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</si>
  <si>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</si>
  <si>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</si>
  <si>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</si>
  <si>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</si>
  <si>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</si>
  <si>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</si>
  <si>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</si>
  <si>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</si>
  <si>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</si>
  <si>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</si>
  <si>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</si>
  <si>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</si>
  <si>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</si>
  <si>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</si>
  <si>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</si>
  <si>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</si>
  <si>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</si>
  <si>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</si>
  <si>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</si>
  <si>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</si>
  <si>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</si>
  <si>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</si>
  <si>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</si>
  <si>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</si>
  <si>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</si>
  <si>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</si>
  <si>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</si>
  <si>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</si>
  <si>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</si>
  <si>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</si>
  <si>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</si>
  <si>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</si>
  <si>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</si>
  <si>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</si>
  <si>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</si>
  <si>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</si>
  <si>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</si>
  <si>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</si>
  <si>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</si>
  <si>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</si>
  <si>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</si>
  <si>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</si>
  <si>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</si>
  <si>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</si>
  <si>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</si>
  <si>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</si>
  <si>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</si>
  <si>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</si>
  <si>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</si>
  <si>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</si>
  <si>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</si>
  <si>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</si>
  <si>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</si>
  <si>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</si>
  <si>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</si>
  <si>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</si>
  <si>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</si>
  <si>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</si>
  <si>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</si>
  <si>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</si>
  <si>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</si>
  <si>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</si>
  <si>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</si>
  <si>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</si>
  <si>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</si>
  <si>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</si>
  <si>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</si>
  <si>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</si>
  <si>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</si>
  <si>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</si>
  <si>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</si>
  <si>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</si>
  <si>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</si>
  <si>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</si>
  <si>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</si>
  <si>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</si>
  <si>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</si>
  <si>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</si>
  <si>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</si>
  <si>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</si>
  <si>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</si>
  <si>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</si>
  <si>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</si>
  <si>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</si>
  <si>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</si>
  <si>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</si>
  <si>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</si>
  <si>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</si>
  <si>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</si>
  <si>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</si>
  <si>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</si>
  <si>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</si>
  <si>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</si>
  <si>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</si>
  <si>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</si>
  <si>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</si>
  <si>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</si>
  <si>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</si>
  <si>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</si>
  <si>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</si>
  <si>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</si>
  <si>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</si>
  <si>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</si>
  <si>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</si>
  <si>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</si>
  <si>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</si>
  <si>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</si>
  <si>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</si>
  <si>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</si>
  <si>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</si>
  <si>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</si>
  <si>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</si>
  <si>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</si>
  <si>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</si>
  <si>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</si>
  <si>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</si>
  <si>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</si>
  <si>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</si>
  <si>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</si>
  <si>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</si>
  <si>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</si>
  <si>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</si>
  <si>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</si>
  <si>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</si>
  <si>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</si>
  <si>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</si>
  <si>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</si>
  <si>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</si>
  <si>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</si>
  <si>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</si>
  <si>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</si>
  <si>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</si>
  <si>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</si>
  <si>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</si>
  <si>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</si>
  <si>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</si>
  <si>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</si>
  <si>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</si>
  <si>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</si>
  <si>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</si>
  <si>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</si>
  <si>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</si>
  <si>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</si>
  <si>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</si>
  <si>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</si>
  <si>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</si>
  <si>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</si>
  <si>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</si>
  <si>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</si>
  <si>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</si>
  <si>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</si>
  <si>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</si>
  <si>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</si>
  <si>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</si>
  <si>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</si>
  <si>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</si>
  <si>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</si>
  <si>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</si>
  <si>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</si>
  <si>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</si>
  <si>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</si>
  <si>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</si>
  <si>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</si>
  <si>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</si>
  <si>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</si>
  <si>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</si>
  <si>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</si>
  <si>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</si>
  <si>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</si>
  <si>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</si>
  <si>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</si>
  <si>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</si>
  <si>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</si>
  <si>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</si>
  <si>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</si>
  <si>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</si>
  <si>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</si>
  <si>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</si>
  <si>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</si>
  <si>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</si>
  <si>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</si>
  <si>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</si>
  <si>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</si>
  <si>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</si>
  <si>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</si>
  <si>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</si>
  <si>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</si>
  <si>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</si>
  <si>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</si>
  <si>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</si>
  <si>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</si>
  <si>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</si>
  <si>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</si>
  <si>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</si>
  <si>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</si>
  <si>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</si>
  <si>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</si>
  <si>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</si>
  <si>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</si>
  <si>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</si>
  <si>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</si>
  <si>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</si>
  <si>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</si>
  <si>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</si>
  <si>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</si>
  <si>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</si>
  <si>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</si>
  <si>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</si>
  <si>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</si>
  <si>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</si>
  <si>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</si>
  <si>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</si>
  <si>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</si>
  <si>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</si>
  <si>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</si>
  <si>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</si>
  <si>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</si>
  <si>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</si>
  <si>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</si>
  <si>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</si>
  <si>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</si>
  <si>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</si>
  <si>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</si>
  <si>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</si>
  <si>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</si>
  <si>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</si>
  <si>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</si>
  <si>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</si>
  <si>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</si>
  <si>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</si>
  <si>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</si>
  <si>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</si>
  <si>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</si>
  <si>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</si>
  <si>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</si>
  <si>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</si>
  <si>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</si>
  <si>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</si>
  <si>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</si>
  <si>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</si>
  <si>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</si>
  <si>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</si>
  <si>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</si>
  <si>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</si>
  <si>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</si>
  <si>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</si>
  <si>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</si>
  <si>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</si>
  <si>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</si>
  <si>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</si>
  <si>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</si>
  <si>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</si>
  <si>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</si>
  <si>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</si>
  <si>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</si>
  <si>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</si>
  <si>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</si>
  <si>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</si>
  <si>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</si>
  <si>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</si>
  <si>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</si>
  <si>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</si>
  <si>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</si>
  <si>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</si>
  <si>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</si>
  <si>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</si>
  <si>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</si>
  <si>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</si>
  <si>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</si>
  <si>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</si>
  <si>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</si>
  <si>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</si>
  <si>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</si>
  <si>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</si>
  <si>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</si>
  <si>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</si>
  <si>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</si>
  <si>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</si>
  <si>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</si>
  <si>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</si>
  <si>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</si>
  <si>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</si>
  <si>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</si>
  <si>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</si>
  <si>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</si>
  <si>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</si>
  <si>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</si>
  <si>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</si>
  <si>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</si>
  <si>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</si>
  <si>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</si>
  <si>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</si>
  <si>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</si>
  <si>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</si>
  <si>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</si>
  <si>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</si>
  <si>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</si>
  <si>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</si>
  <si>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</si>
  <si>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</si>
  <si>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</si>
  <si>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</si>
  <si>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</si>
  <si>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</si>
  <si>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</si>
  <si>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</si>
  <si>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</si>
  <si>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</si>
  <si>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</si>
  <si>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</si>
  <si>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</si>
  <si>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</si>
  <si>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</si>
  <si>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</si>
  <si>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</si>
  <si>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</si>
  <si>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</si>
  <si>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</si>
  <si>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</si>
  <si>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</si>
  <si>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</si>
  <si>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</si>
  <si>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</si>
  <si>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</si>
  <si>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</si>
  <si>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</si>
  <si>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</si>
  <si>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</si>
  <si>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</si>
  <si>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</si>
  <si>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</si>
  <si>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</si>
  <si>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</si>
  <si>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</si>
  <si>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</si>
  <si>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</si>
  <si>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</si>
  <si>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</si>
  <si>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</si>
  <si>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</si>
  <si>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</si>
  <si>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</si>
  <si>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</si>
  <si>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</si>
  <si>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</si>
  <si>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</si>
  <si>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</si>
  <si>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</si>
  <si>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</si>
  <si>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</si>
  <si>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</si>
  <si>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</si>
  <si>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</si>
  <si>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</si>
  <si>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</si>
  <si>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</si>
  <si>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</si>
  <si>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</si>
  <si>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</si>
  <si>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</si>
  <si>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</si>
  <si>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</si>
  <si>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</si>
  <si>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</si>
  <si>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</si>
  <si>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</si>
  <si>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</si>
  <si>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</si>
  <si>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</si>
  <si>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</si>
  <si>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</si>
  <si>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</si>
  <si>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</si>
  <si>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</si>
  <si>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</si>
  <si>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</si>
  <si>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</si>
  <si>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</si>
  <si>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</si>
  <si>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</si>
  <si>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</si>
  <si>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</si>
  <si>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</si>
  <si>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</si>
  <si>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</si>
  <si>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</si>
  <si>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</si>
  <si>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</si>
  <si>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</si>
  <si>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</si>
  <si>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</si>
  <si>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</si>
  <si>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</si>
  <si>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</si>
  <si>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</si>
  <si>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</si>
  <si>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</si>
  <si>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</si>
  <si>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</si>
  <si>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</si>
  <si>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</si>
  <si>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</si>
  <si>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</si>
  <si>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</si>
  <si>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</si>
  <si>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</si>
  <si>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</si>
  <si>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</si>
  <si>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</si>
  <si>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</si>
  <si>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</si>
  <si>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</si>
  <si>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</si>
  <si>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</si>
  <si>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</si>
  <si>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</si>
  <si>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</si>
  <si>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</si>
  <si>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</si>
  <si>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</si>
  <si>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</si>
  <si>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</si>
  <si>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</si>
  <si>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</si>
  <si>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</si>
  <si>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</si>
  <si>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</si>
  <si>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</si>
  <si>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</si>
  <si>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</si>
  <si>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</si>
  <si>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</si>
  <si>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</si>
  <si>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</si>
  <si>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</si>
  <si>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</si>
  <si>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</si>
  <si>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</si>
  <si>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</si>
  <si>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</si>
  <si>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</si>
  <si>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</si>
  <si>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</si>
  <si>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</si>
  <si>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</si>
  <si>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</si>
  <si>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</si>
  <si>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</si>
  <si>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</si>
  <si>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</si>
  <si>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</si>
  <si>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</si>
  <si>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</si>
  <si>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</si>
  <si>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</si>
  <si>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</si>
  <si>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</si>
  <si>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</si>
  <si>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</si>
  <si>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</si>
  <si>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</si>
  <si>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</si>
  <si>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</si>
  <si>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</si>
  <si>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</si>
  <si>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</si>
  <si>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</si>
  <si>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</si>
  <si>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</si>
  <si>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</si>
  <si>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</si>
  <si>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</si>
  <si>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</si>
  <si>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</si>
  <si>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</si>
  <si>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</si>
  <si>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</si>
  <si>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</si>
  <si>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</si>
  <si>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</si>
  <si>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</si>
  <si>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</si>
  <si>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</si>
  <si>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</si>
  <si>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</si>
  <si>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</si>
  <si>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</si>
  <si>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</si>
  <si>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</si>
  <si>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</si>
  <si>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</si>
  <si>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</si>
  <si>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</si>
  <si>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</si>
  <si>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</si>
  <si>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</si>
  <si>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</si>
  <si>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</si>
  <si>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</si>
  <si>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</si>
  <si>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</si>
  <si>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</si>
  <si>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</si>
  <si>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</si>
  <si>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</si>
  <si>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</si>
  <si>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</si>
  <si>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</si>
  <si>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</si>
  <si>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</si>
  <si>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</si>
  <si>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</si>
  <si>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</si>
  <si>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</si>
  <si>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</si>
  <si>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</si>
  <si>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</si>
  <si>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</si>
  <si>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</si>
  <si>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</si>
  <si>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</si>
  <si>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</si>
  <si>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</si>
  <si>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</si>
  <si>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</si>
  <si>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</si>
  <si>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</si>
  <si>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</si>
  <si>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</si>
  <si>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</si>
  <si>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</si>
  <si>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</si>
  <si>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</si>
  <si>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</si>
  <si>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</si>
  <si>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</si>
  <si>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</si>
  <si>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</si>
  <si>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</si>
  <si>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</si>
  <si>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</si>
  <si>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</si>
  <si>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</si>
  <si>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</si>
  <si>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</si>
  <si>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</si>
  <si>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</si>
  <si>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</si>
  <si>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</si>
  <si>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</si>
  <si>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</si>
  <si>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</si>
  <si>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</si>
  <si>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</si>
  <si>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</si>
  <si>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</si>
  <si>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</si>
  <si>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</si>
  <si>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</si>
  <si>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</si>
  <si>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</si>
  <si>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</si>
  <si>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</si>
  <si>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</si>
  <si>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</si>
  <si>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</si>
  <si>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</si>
  <si>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</si>
  <si>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</si>
  <si>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</si>
  <si>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</si>
  <si>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</si>
  <si>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</si>
  <si>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</si>
  <si>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</si>
  <si>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</si>
  <si>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</si>
  <si>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</si>
  <si>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</si>
  <si>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</si>
  <si>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</si>
  <si>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</si>
  <si>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</si>
  <si>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</si>
  <si>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</si>
  <si>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</si>
  <si>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</si>
  <si>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</si>
  <si>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</si>
  <si>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</si>
  <si>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</si>
  <si>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</si>
  <si>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</si>
  <si>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</si>
  <si>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</si>
  <si>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</si>
  <si>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</si>
  <si>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</si>
  <si>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</si>
  <si>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</si>
  <si>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</si>
  <si>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</si>
  <si>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</si>
  <si>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</si>
  <si>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</si>
  <si>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</si>
  <si>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</si>
  <si>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</si>
  <si>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</si>
  <si>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</si>
  <si>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</si>
  <si>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</si>
  <si>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</si>
  <si>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</si>
  <si>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</si>
  <si>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</si>
  <si>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</si>
  <si>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</si>
  <si>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</si>
  <si>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</si>
  <si>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</si>
  <si>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</si>
  <si>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</si>
  <si>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</si>
  <si>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</si>
  <si>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</si>
  <si>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</si>
  <si>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</si>
  <si>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</si>
  <si>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</si>
  <si>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</si>
  <si>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</si>
  <si>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</si>
  <si>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</si>
  <si>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</si>
  <si>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</si>
  <si>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</si>
  <si>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</si>
  <si>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</si>
  <si>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</si>
  <si>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</si>
  <si>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</si>
  <si>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</si>
  <si>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</si>
  <si>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</si>
  <si>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</si>
  <si>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</si>
  <si>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</si>
  <si>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</si>
  <si>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</si>
  <si>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</si>
  <si>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</si>
  <si>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</si>
  <si>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</si>
  <si>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</si>
  <si>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</si>
  <si>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</si>
  <si>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</si>
  <si>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</si>
  <si>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</si>
  <si>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</si>
  <si>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</si>
  <si>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</si>
  <si>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</si>
  <si>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</si>
  <si>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</si>
  <si>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</si>
  <si>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</si>
  <si>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</si>
  <si>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</si>
  <si>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</si>
  <si>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</si>
  <si>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</si>
  <si>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</si>
  <si>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</si>
  <si>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</si>
  <si>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</si>
  <si>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</si>
  <si>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</si>
  <si>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</si>
  <si>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</si>
  <si>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</si>
  <si>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</si>
  <si>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</si>
  <si>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</si>
  <si>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</si>
  <si>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</si>
  <si>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</si>
  <si>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</si>
  <si>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</si>
  <si>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</si>
  <si>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</si>
  <si>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</si>
  <si>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</si>
  <si>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</si>
  <si>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</si>
  <si>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</si>
  <si>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</si>
  <si>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</si>
  <si>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</si>
  <si>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</si>
  <si>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</si>
  <si>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</si>
  <si>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</si>
  <si>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</si>
  <si>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</si>
  <si>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</si>
  <si>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</si>
  <si>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</si>
  <si>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</si>
  <si>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</si>
  <si>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</si>
  <si>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</si>
  <si>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</si>
  <si>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</si>
  <si>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</si>
  <si>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</si>
  <si>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</si>
  <si>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</si>
  <si>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</si>
  <si>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</si>
  <si>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</si>
  <si>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</si>
  <si>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</si>
  <si>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</si>
  <si>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</si>
  <si>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</si>
  <si>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</si>
  <si>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</si>
  <si>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</si>
  <si>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</si>
  <si>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</si>
  <si>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</si>
  <si>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</si>
  <si>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</si>
  <si>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</si>
  <si>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</si>
  <si>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</si>
  <si>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</si>
  <si>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</si>
  <si>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</si>
  <si>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</si>
  <si>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</si>
  <si>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</si>
  <si>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</si>
  <si>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</si>
  <si>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</si>
  <si>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</si>
  <si>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</si>
  <si>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</si>
  <si>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</si>
  <si>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</si>
  <si>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</si>
  <si>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</si>
  <si>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</si>
  <si>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</si>
  <si>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</si>
  <si>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</si>
  <si>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</si>
  <si>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</si>
  <si>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</si>
  <si>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</si>
  <si>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</si>
  <si>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</si>
  <si>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</si>
  <si>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</si>
  <si>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</si>
  <si>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</si>
  <si>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</si>
  <si>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</si>
  <si>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</si>
  <si>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</si>
  <si>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</si>
  <si>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</si>
  <si>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</si>
  <si>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</si>
  <si>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</si>
  <si>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</si>
  <si>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</si>
  <si>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</si>
  <si>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</si>
  <si>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</si>
  <si>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</si>
  <si>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</si>
  <si>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</si>
  <si>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</si>
  <si>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</si>
  <si>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</si>
  <si>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</si>
  <si>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</si>
  <si>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</si>
  <si>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</si>
  <si>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</si>
  <si>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</si>
  <si>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</si>
  <si>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</si>
  <si>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</si>
  <si>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</si>
  <si>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</si>
  <si>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</si>
  <si>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</si>
  <si>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</si>
  <si>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</si>
  <si>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</si>
  <si>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</si>
  <si>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</si>
  <si>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</si>
  <si>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</si>
  <si>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</si>
  <si>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</si>
  <si>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</si>
  <si>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</si>
  <si>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</si>
  <si>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</si>
  <si>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</si>
  <si>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</si>
  <si>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</si>
  <si>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</si>
  <si>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</si>
  <si>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</si>
  <si>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</si>
  <si>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</si>
  <si>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</si>
  <si>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</si>
  <si>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</si>
  <si>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</si>
  <si>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</si>
  <si>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</si>
  <si>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</si>
  <si>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</si>
  <si>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</si>
  <si>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</si>
  <si>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</si>
  <si>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</si>
  <si>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</si>
  <si>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</si>
  <si>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</si>
  <si>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</si>
  <si>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</si>
  <si>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</si>
  <si>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</si>
  <si>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</si>
  <si>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</si>
  <si>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</si>
  <si>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</si>
  <si>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</si>
  <si>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</si>
  <si>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</si>
  <si>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</si>
  <si>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</si>
  <si>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</si>
  <si>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</si>
  <si>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</si>
  <si>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</si>
  <si>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</si>
  <si>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</si>
  <si>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</si>
  <si>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</si>
  <si>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</si>
  <si>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</si>
  <si>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</si>
  <si>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</si>
  <si>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</si>
  <si>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</si>
  <si>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</si>
  <si>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</si>
  <si>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</si>
  <si>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</si>
  <si>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</si>
  <si>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</si>
  <si>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</si>
  <si>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</si>
  <si>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</si>
  <si>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</si>
  <si>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</si>
  <si>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</si>
  <si>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</si>
  <si>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</si>
  <si>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</si>
  <si>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</si>
  <si>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</si>
  <si>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</si>
  <si>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</si>
  <si>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</si>
  <si>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</si>
  <si>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</si>
  <si>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</si>
  <si>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</si>
  <si>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</si>
  <si>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</si>
  <si>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</si>
  <si>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</si>
  <si>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</si>
  <si>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</si>
  <si>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</si>
  <si>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</si>
  <si>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</si>
  <si>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</si>
  <si>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</si>
  <si>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</si>
  <si>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</si>
  <si>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</si>
  <si>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</si>
  <si>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</si>
  <si>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</si>
  <si>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</si>
  <si>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</si>
  <si>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</si>
  <si>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</si>
  <si>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</si>
  <si>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</si>
  <si>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</si>
  <si>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</si>
  <si>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</si>
  <si>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</si>
  <si>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</si>
  <si>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</si>
  <si>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</si>
  <si>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</si>
  <si>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</si>
  <si>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</si>
  <si>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</si>
  <si>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</si>
  <si>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</si>
  <si>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</si>
  <si>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</si>
  <si>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</si>
  <si>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</si>
  <si>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</si>
  <si>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</si>
  <si>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</si>
  <si>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</si>
  <si>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</si>
  <si>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</si>
  <si>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</si>
  <si>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</si>
  <si>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</si>
  <si>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</si>
  <si>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</si>
  <si>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</si>
  <si>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</si>
  <si>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</si>
  <si>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</si>
  <si>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</si>
  <si>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</si>
  <si>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</si>
  <si>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</si>
  <si>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</si>
  <si>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</si>
  <si>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</si>
  <si>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</si>
  <si>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</si>
  <si>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</si>
  <si>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</si>
  <si>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</si>
  <si>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</si>
  <si>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</si>
  <si>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</si>
  <si>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</si>
  <si>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</si>
  <si>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</si>
  <si>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</si>
  <si>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</si>
  <si>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</si>
  <si>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</si>
  <si>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</si>
  <si>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</si>
  <si>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</si>
  <si>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</si>
  <si>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</si>
  <si>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</si>
  <si>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</si>
  <si>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</si>
  <si>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</si>
  <si>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</si>
  <si>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</si>
  <si>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</si>
  <si>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</si>
  <si>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</si>
  <si>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</si>
  <si>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</si>
  <si>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</si>
  <si>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</si>
  <si>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</si>
  <si>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</si>
  <si>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</si>
  <si>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</si>
  <si>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</si>
  <si>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</si>
  <si>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</si>
  <si>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</si>
  <si>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</si>
  <si>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</si>
  <si>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</si>
  <si>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</si>
  <si>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</si>
  <si>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</si>
  <si>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</si>
  <si>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</si>
  <si>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</si>
  <si>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</si>
  <si>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</si>
  <si>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</si>
  <si>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</si>
  <si>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</si>
  <si>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</si>
  <si>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</si>
  <si>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</si>
  <si>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</si>
  <si>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</si>
  <si>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</si>
  <si>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</si>
  <si>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</si>
  <si>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</si>
  <si>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</si>
  <si>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</si>
  <si>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</si>
  <si>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</si>
  <si>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</si>
  <si>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</si>
  <si>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</si>
  <si>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</si>
  <si>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</si>
  <si>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</si>
  <si>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</si>
  <si>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</si>
  <si>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</si>
  <si>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</si>
  <si>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</si>
  <si>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</si>
  <si>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</si>
  <si>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</si>
  <si>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</si>
  <si>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</si>
  <si>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</si>
  <si>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</si>
  <si>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</si>
  <si>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</si>
  <si>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</si>
  <si>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</si>
  <si>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</si>
  <si>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</si>
  <si>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</si>
  <si>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</si>
  <si>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</si>
  <si>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</si>
  <si>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</si>
  <si>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</si>
  <si>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</si>
  <si>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</si>
  <si>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</si>
  <si>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</si>
  <si>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</si>
  <si>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</si>
  <si>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</si>
  <si>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</si>
  <si>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</si>
  <si>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</si>
  <si>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</si>
  <si>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</si>
  <si>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</si>
  <si>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</si>
  <si>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</si>
  <si>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</si>
  <si>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</si>
  <si>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</si>
  <si>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</si>
  <si>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</si>
  <si>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</si>
  <si>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</si>
  <si>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</si>
  <si>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</si>
  <si>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</si>
  <si>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</si>
  <si>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</si>
  <si>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</si>
  <si>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</si>
  <si>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</si>
  <si>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</si>
  <si>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</si>
  <si>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</si>
  <si>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</si>
  <si>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</si>
  <si>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</si>
  <si>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</si>
  <si>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</si>
  <si>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</si>
  <si>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</si>
  <si>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</si>
  <si>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</si>
  <si>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</si>
  <si>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</si>
  <si>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</si>
  <si>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</si>
  <si>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</si>
  <si>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</si>
  <si>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</si>
  <si>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</si>
  <si>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</si>
  <si>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</si>
  <si>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</si>
  <si>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</si>
  <si>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</si>
  <si>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</si>
  <si>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</si>
  <si>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</si>
  <si>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</si>
  <si>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</si>
  <si>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</si>
  <si>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</si>
  <si>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</si>
  <si>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</si>
  <si>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</si>
  <si>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</si>
  <si>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</si>
  <si>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</si>
  <si>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</si>
  <si>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</si>
  <si>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</si>
  <si>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</si>
  <si>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</si>
  <si>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</si>
  <si>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</si>
  <si>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</si>
  <si>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</si>
  <si>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</si>
  <si>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</si>
  <si>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</si>
  <si>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</si>
  <si>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</si>
  <si>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</si>
  <si>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</si>
  <si>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</si>
  <si>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</si>
  <si>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</si>
  <si>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</si>
  <si>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</si>
  <si>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</si>
  <si>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</si>
  <si>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</si>
  <si>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</si>
  <si>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</si>
  <si>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</si>
  <si>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</si>
  <si>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</si>
  <si>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</si>
  <si>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</si>
  <si>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</si>
  <si>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</si>
  <si>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</si>
  <si>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</si>
  <si>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</si>
  <si>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</si>
  <si>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</si>
  <si>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</si>
  <si>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</si>
  <si>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</si>
  <si>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</si>
  <si>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</si>
  <si>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</si>
  <si>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</si>
  <si>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</si>
  <si>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</si>
  <si>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</si>
  <si>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</si>
  <si>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</si>
  <si>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</si>
  <si>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</si>
  <si>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</si>
  <si>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</si>
  <si>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</si>
  <si>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</si>
  <si>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</si>
  <si>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</si>
  <si>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</si>
  <si>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</si>
  <si>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</si>
  <si>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</si>
  <si>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</si>
  <si>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</si>
  <si>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</si>
  <si>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</si>
  <si>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</si>
  <si>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</si>
  <si>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</si>
  <si>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</si>
  <si>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</si>
  <si>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</si>
  <si>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</si>
  <si>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</si>
  <si>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</si>
  <si>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</si>
  <si>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</si>
  <si>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</si>
  <si>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</si>
  <si>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</si>
  <si>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</si>
  <si>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</si>
  <si>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</si>
  <si>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</si>
  <si>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</si>
  <si>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</si>
  <si>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</si>
  <si>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</si>
  <si>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</si>
  <si>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</si>
  <si>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</si>
  <si>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</si>
  <si>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</si>
  <si>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</si>
  <si>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</si>
  <si>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</si>
  <si>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</si>
  <si>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</si>
  <si>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</si>
  <si>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</si>
  <si>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</si>
  <si>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</si>
  <si>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</si>
  <si>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</si>
  <si>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</si>
  <si>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</si>
  <si>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</si>
  <si>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</si>
  <si>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</si>
  <si>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</si>
  <si>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</si>
  <si>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</si>
  <si>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</si>
  <si>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</si>
  <si>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</si>
  <si>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</si>
  <si>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</si>
  <si>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</si>
  <si>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</si>
  <si>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</si>
  <si>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</si>
  <si>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</si>
  <si>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</si>
  <si>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</si>
  <si>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</si>
  <si>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</si>
  <si>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</si>
  <si>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</si>
  <si>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</si>
  <si>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</si>
  <si>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</si>
  <si>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</si>
  <si>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</si>
  <si>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</si>
  <si>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</si>
  <si>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</si>
  <si>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</si>
  <si>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</si>
  <si>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</si>
  <si>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</si>
  <si>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</si>
  <si>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</si>
  <si>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</si>
  <si>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</si>
  <si>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</si>
  <si>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</si>
  <si>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</si>
  <si>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</si>
  <si>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</si>
  <si>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</si>
  <si>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</si>
  <si>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</si>
  <si>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</si>
  <si>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</si>
  <si>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</si>
  <si>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</si>
  <si>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</si>
  <si>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</si>
  <si>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</si>
  <si>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</si>
  <si>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</si>
  <si>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</si>
  <si>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</si>
  <si>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</si>
  <si>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</si>
  <si>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</si>
  <si>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</si>
  <si>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</si>
  <si>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</si>
  <si>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</si>
  <si>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</si>
  <si>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</si>
  <si>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</si>
  <si>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</si>
  <si>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</si>
  <si>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</si>
  <si>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</si>
  <si>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</si>
  <si>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</si>
  <si>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</si>
  <si>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</si>
  <si>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</si>
  <si>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</si>
  <si>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</si>
  <si>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</si>
  <si>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</si>
  <si>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</si>
  <si>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</si>
  <si>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</si>
  <si>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</si>
  <si>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</si>
  <si>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</si>
  <si>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</si>
  <si>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</si>
  <si>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</si>
  <si>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</si>
  <si>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</si>
  <si>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</si>
  <si>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</si>
  <si>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</si>
  <si>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</si>
  <si>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</si>
  <si>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</si>
  <si>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</si>
  <si>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</si>
  <si>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</si>
  <si>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</si>
  <si>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</si>
  <si>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</si>
  <si>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</si>
  <si>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</si>
  <si>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</si>
  <si>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</si>
  <si>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</si>
  <si>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</si>
  <si>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</si>
  <si>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</si>
  <si>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</si>
  <si>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</si>
  <si>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</si>
  <si>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</si>
  <si>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</si>
  <si>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</si>
  <si>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</si>
  <si>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</si>
  <si>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</si>
  <si>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</si>
  <si>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</si>
  <si>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</si>
  <si>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</si>
  <si>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</si>
  <si>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</si>
  <si>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</si>
  <si>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</si>
  <si>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</si>
  <si>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</si>
  <si>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</si>
  <si>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</si>
  <si>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</si>
  <si>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</si>
  <si>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</si>
  <si>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</si>
  <si>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</si>
  <si>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</si>
  <si>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</si>
  <si>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</si>
  <si>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</si>
  <si>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</si>
  <si>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</si>
  <si>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</si>
  <si>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</si>
  <si>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</si>
  <si>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</si>
  <si>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</si>
  <si>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</si>
  <si>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</si>
  <si>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</si>
  <si>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</si>
  <si>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</si>
  <si>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</si>
  <si>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</si>
  <si>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</si>
  <si>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</si>
  <si>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</si>
  <si>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</si>
  <si>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</si>
  <si>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</si>
  <si>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</si>
  <si>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</si>
  <si>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</si>
  <si>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</si>
  <si>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</si>
  <si>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</si>
  <si>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</si>
  <si>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</si>
  <si>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</si>
  <si>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</si>
  <si>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</si>
  <si>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</si>
  <si>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</si>
  <si>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</si>
  <si>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</si>
  <si>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</si>
  <si>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</si>
  <si>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</si>
  <si>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</si>
  <si>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</si>
  <si>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</si>
  <si>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</si>
  <si>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</si>
  <si>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</si>
  <si>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</si>
  <si>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</si>
  <si>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</si>
  <si>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</si>
  <si>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</si>
  <si>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</si>
  <si>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</si>
  <si>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</si>
  <si>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</si>
  <si>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</si>
  <si>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</si>
  <si>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</si>
  <si>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</si>
  <si>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</si>
  <si>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</si>
  <si>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</si>
  <si>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</si>
  <si>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</si>
  <si>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</si>
  <si>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</si>
  <si>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</si>
  <si>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</si>
  <si>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</si>
  <si>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</si>
  <si>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</si>
  <si>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</si>
  <si>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</si>
  <si>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</si>
  <si>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</si>
  <si>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</si>
  <si>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</si>
  <si>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</si>
  <si>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</si>
  <si>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</si>
  <si>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</si>
  <si>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</si>
  <si>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</si>
  <si>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</si>
  <si>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</si>
  <si>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</si>
  <si>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</si>
  <si>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</si>
  <si>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</si>
  <si>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</si>
  <si>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</si>
  <si>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</si>
  <si>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</si>
  <si>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</si>
  <si>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</si>
  <si>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</si>
  <si>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</si>
  <si>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</si>
  <si>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</si>
  <si>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</si>
  <si>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</si>
  <si>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</si>
  <si>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</si>
  <si>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</si>
  <si>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</si>
  <si>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</si>
  <si>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</si>
  <si>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</si>
  <si>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</si>
  <si>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</si>
  <si>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</si>
  <si>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</si>
  <si>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</si>
  <si>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</si>
  <si>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</si>
  <si>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</si>
  <si>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</si>
  <si>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</si>
  <si>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</si>
  <si>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</si>
  <si>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</si>
  <si>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</si>
  <si>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</si>
  <si>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</si>
  <si>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</si>
  <si>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</si>
  <si>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</si>
  <si>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</si>
  <si>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</si>
  <si>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</si>
  <si>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</si>
  <si>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</si>
  <si>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</si>
  <si>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</si>
  <si>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</si>
  <si>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</si>
  <si>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</si>
  <si>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</si>
  <si>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</si>
  <si>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</si>
  <si>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</si>
  <si>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</si>
  <si>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</si>
  <si>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</si>
  <si>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</si>
  <si>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</si>
  <si>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</si>
  <si>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</si>
  <si>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</si>
  <si>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</si>
  <si>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</si>
  <si>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</si>
  <si>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</si>
  <si>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</si>
  <si>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</si>
  <si>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</si>
  <si>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</si>
  <si>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</si>
  <si>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</si>
  <si>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</si>
  <si>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</si>
  <si>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</si>
  <si>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</si>
  <si>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</si>
  <si>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</si>
  <si>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</si>
  <si>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</si>
  <si>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</si>
  <si>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</si>
  <si>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</si>
  <si>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</si>
  <si>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</si>
  <si>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</si>
  <si>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</si>
  <si>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</si>
  <si>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</si>
  <si>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</si>
  <si>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</si>
  <si>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</si>
  <si>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</si>
  <si>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</si>
  <si>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</si>
  <si>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</si>
  <si>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</si>
  <si>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</si>
  <si>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</si>
  <si>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</si>
  <si>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</si>
  <si>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</si>
  <si>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</si>
  <si>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</si>
  <si>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</si>
  <si>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</si>
  <si>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</si>
  <si>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</si>
  <si>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</si>
  <si>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</si>
  <si>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</si>
  <si>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</si>
  <si>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</si>
  <si>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</si>
  <si>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</si>
  <si>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</si>
  <si>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</si>
  <si>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</si>
  <si>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</si>
  <si>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</si>
  <si>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</si>
  <si>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</si>
  <si>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</si>
  <si>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</si>
  <si>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</si>
  <si>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</si>
  <si>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</si>
  <si>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</si>
  <si>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</si>
  <si>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</si>
  <si>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</si>
  <si>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</si>
  <si>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</si>
  <si>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</si>
  <si>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</si>
  <si>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</si>
  <si>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</si>
  <si>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</si>
  <si>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</si>
  <si>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</si>
  <si>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</si>
  <si>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</si>
  <si>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</si>
  <si>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</si>
  <si>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</si>
  <si>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</si>
  <si>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</si>
  <si>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</si>
  <si>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</si>
  <si>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</si>
  <si>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</si>
  <si>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</si>
  <si>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</si>
  <si>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</si>
  <si>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</si>
  <si>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</si>
  <si>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</si>
  <si>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</si>
  <si>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</si>
  <si>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</si>
  <si>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</si>
  <si>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</si>
  <si>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</si>
  <si>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</si>
  <si>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</si>
  <si>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</si>
  <si>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</si>
  <si>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</si>
  <si>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</si>
  <si>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</si>
  <si>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</si>
  <si>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</si>
  <si>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</si>
  <si>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</si>
  <si>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</si>
  <si>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</si>
  <si>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</si>
  <si>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</si>
  <si>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</si>
  <si>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</si>
  <si>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</si>
  <si>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</si>
  <si>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</si>
  <si>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</si>
  <si>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</si>
  <si>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</si>
  <si>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</si>
  <si>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</si>
  <si>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</si>
  <si>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</si>
  <si>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</si>
  <si>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</si>
  <si>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</si>
  <si>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</si>
  <si>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</si>
  <si>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</si>
  <si>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</si>
  <si>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</si>
  <si>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</si>
  <si>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</si>
  <si>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</si>
  <si>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</si>
  <si>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</si>
  <si>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</si>
  <si>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</si>
  <si>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</si>
  <si>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</si>
  <si>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</si>
  <si>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</si>
  <si>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</si>
  <si>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</si>
  <si>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</si>
  <si>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</si>
  <si>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</si>
  <si>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</si>
  <si>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</si>
  <si>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</si>
  <si>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</si>
  <si>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</si>
  <si>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</si>
  <si>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</si>
  <si>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</si>
  <si>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</si>
  <si>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</si>
  <si>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</si>
  <si>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</si>
  <si>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</si>
  <si>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</si>
  <si>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</si>
  <si>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</si>
  <si>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</si>
  <si>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</si>
  <si>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</si>
  <si>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</si>
  <si>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</si>
  <si>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</si>
  <si>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</si>
  <si>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</si>
  <si>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</si>
  <si>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</si>
  <si>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</si>
  <si>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</si>
  <si>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</si>
  <si>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</si>
  <si>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</si>
  <si>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</si>
  <si>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</si>
  <si>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</si>
  <si>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</si>
  <si>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</si>
  <si>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</si>
  <si>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</si>
  <si>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</si>
  <si>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</si>
  <si>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</si>
  <si>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</si>
  <si>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</si>
  <si>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</si>
  <si>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</si>
  <si>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</si>
  <si>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</si>
  <si>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</si>
  <si>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</si>
  <si>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</si>
  <si>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</si>
  <si>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</si>
  <si>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</si>
  <si>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</si>
  <si>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</si>
  <si>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</si>
  <si>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</si>
  <si>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</si>
  <si>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</si>
  <si>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</si>
  <si>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</si>
  <si>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</si>
  <si>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</si>
  <si>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</si>
  <si>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</si>
  <si>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</si>
  <si>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</si>
  <si>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</si>
  <si>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</si>
  <si>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</si>
  <si>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</si>
  <si>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</si>
  <si>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</si>
  <si>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</si>
  <si>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</si>
  <si>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</si>
  <si>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</si>
  <si>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</si>
  <si>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</si>
  <si>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</si>
  <si>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</si>
  <si>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</si>
  <si>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</si>
  <si>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</si>
  <si>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</si>
  <si>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</si>
  <si>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</si>
  <si>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</si>
  <si>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</si>
  <si>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</si>
  <si>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</si>
  <si>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</si>
  <si>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</si>
  <si>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</si>
  <si>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</si>
  <si>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</si>
  <si>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</si>
  <si>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</si>
  <si>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</si>
  <si>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</si>
  <si>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</si>
  <si>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</si>
  <si>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</si>
  <si>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</si>
  <si>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</si>
  <si>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</si>
  <si>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</si>
  <si>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</si>
  <si>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</si>
  <si>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</si>
  <si>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</si>
  <si>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</si>
  <si>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</si>
  <si>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</si>
  <si>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</si>
  <si>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</si>
  <si>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</si>
  <si>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</si>
  <si>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</si>
  <si>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</si>
  <si>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</si>
  <si>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</si>
  <si>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</si>
  <si>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</si>
  <si>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</si>
  <si>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</si>
  <si>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</si>
  <si>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</si>
  <si>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</si>
  <si>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</si>
  <si>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</si>
  <si>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</si>
  <si>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</si>
  <si>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</si>
  <si>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</si>
  <si>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</si>
  <si>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</si>
  <si>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</si>
  <si>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</si>
  <si>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</si>
  <si>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</si>
  <si>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</si>
  <si>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</si>
  <si>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</si>
  <si>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</si>
  <si>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</si>
  <si>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</si>
  <si>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</si>
  <si>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</si>
  <si>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</si>
  <si>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</si>
  <si>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</si>
  <si>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</si>
  <si>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</si>
  <si>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</si>
  <si>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</si>
  <si>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</si>
  <si>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</si>
  <si>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</si>
  <si>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</si>
  <si>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</si>
  <si>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</si>
  <si>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</si>
  <si>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</si>
  <si>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</si>
  <si>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</si>
  <si>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</si>
  <si>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</si>
  <si>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</si>
  <si>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</si>
  <si>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</si>
  <si>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</si>
  <si>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</si>
  <si>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</si>
  <si>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</si>
  <si>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</si>
  <si>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</si>
  <si>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</si>
  <si>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</si>
  <si>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</si>
  <si>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</si>
  <si>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</si>
  <si>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</si>
  <si>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</si>
  <si>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</si>
  <si>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</si>
  <si>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</si>
  <si>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</si>
  <si>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</si>
  <si>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</si>
  <si>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</si>
  <si>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</si>
  <si>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</si>
  <si>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</si>
  <si>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</si>
  <si>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</si>
  <si>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</si>
  <si>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</si>
  <si>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</si>
  <si>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</si>
  <si>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</si>
  <si>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</si>
  <si>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</si>
  <si>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</si>
  <si>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</si>
  <si>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</si>
  <si>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</si>
  <si>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</si>
  <si>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</si>
  <si>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</si>
  <si>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</si>
  <si>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</si>
  <si>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</si>
  <si>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</si>
  <si>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</si>
  <si>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</si>
  <si>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</si>
  <si>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</si>
  <si>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</si>
  <si>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</si>
  <si>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</si>
  <si>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</si>
  <si>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</si>
  <si>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</si>
  <si>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</si>
  <si>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</si>
  <si>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</si>
  <si>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</si>
  <si>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</si>
  <si>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</si>
  <si>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</si>
  <si>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</si>
  <si>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</si>
  <si>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</si>
  <si>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</si>
  <si>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</si>
  <si>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</si>
  <si>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</si>
  <si>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</si>
  <si>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</si>
  <si>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</si>
  <si>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</si>
  <si>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</si>
  <si>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</si>
  <si>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</si>
  <si>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</si>
  <si>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</si>
  <si>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</si>
  <si>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</si>
  <si>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</si>
  <si>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</si>
  <si>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</si>
  <si>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</si>
  <si>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</si>
  <si>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</si>
  <si>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</si>
  <si>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</si>
  <si>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</si>
  <si>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</si>
  <si>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</si>
  <si>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</si>
  <si>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</si>
  <si>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</si>
  <si>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</si>
  <si>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</si>
  <si>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</si>
  <si>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</si>
  <si>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</si>
  <si>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</si>
  <si>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</si>
  <si>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</si>
  <si>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</si>
  <si>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</si>
  <si>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</si>
  <si>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</si>
  <si>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</si>
  <si>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</si>
  <si>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</si>
  <si>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</si>
  <si>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</si>
  <si>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</si>
  <si>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</si>
  <si>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</si>
  <si>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</si>
  <si>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</si>
  <si>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</si>
  <si>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</si>
  <si>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</si>
  <si>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</si>
  <si>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</si>
  <si>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</si>
  <si>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</si>
  <si>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</si>
  <si>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</si>
  <si>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</si>
  <si>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</si>
  <si>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</si>
  <si>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</si>
  <si>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</si>
  <si>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</si>
  <si>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</si>
  <si>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</si>
  <si>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</si>
  <si>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</si>
  <si>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</si>
  <si>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</si>
  <si>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</si>
  <si>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</si>
  <si>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</si>
  <si>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</si>
  <si>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</si>
  <si>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</si>
  <si>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</si>
  <si>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</si>
  <si>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</si>
  <si>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</si>
  <si>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</si>
  <si>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</si>
  <si>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</si>
  <si>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</si>
  <si>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</si>
  <si>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</si>
  <si>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</si>
  <si>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</si>
  <si>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</si>
  <si>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</si>
  <si>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</si>
  <si>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</si>
  <si>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</si>
  <si>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</si>
  <si>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</si>
  <si>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</si>
  <si>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</si>
  <si>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</si>
  <si>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</si>
  <si>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</si>
  <si>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</si>
  <si>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</si>
  <si>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</si>
  <si>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</si>
  <si>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</si>
  <si>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</si>
  <si>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</si>
  <si>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</si>
  <si>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</si>
  <si>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</si>
  <si>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</si>
  <si>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</si>
  <si>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</si>
  <si>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</si>
  <si>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</si>
  <si>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</si>
  <si>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</si>
  <si>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</si>
  <si>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</si>
  <si>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</si>
  <si>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</si>
  <si>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</si>
  <si>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</si>
  <si>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</si>
  <si>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</si>
  <si>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</si>
  <si>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</si>
  <si>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</si>
  <si>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</si>
  <si>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</si>
  <si>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</si>
  <si>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</si>
  <si>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</si>
  <si>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</si>
  <si>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</si>
  <si>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</si>
  <si>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</si>
  <si>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</si>
  <si>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</si>
  <si>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</si>
  <si>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</si>
  <si>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</si>
  <si>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</si>
  <si>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</si>
  <si>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</si>
  <si>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</si>
  <si>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</si>
  <si>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</si>
  <si>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</si>
  <si>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</si>
  <si>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</si>
  <si>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</si>
  <si>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</si>
  <si>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</si>
  <si>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</si>
  <si>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</si>
  <si>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</si>
  <si>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</si>
  <si>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</si>
  <si>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</si>
  <si>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</si>
  <si>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</si>
  <si>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</si>
  <si>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</si>
  <si>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</si>
  <si>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</si>
  <si>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</si>
  <si>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</si>
  <si>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</si>
  <si>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</si>
  <si>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</si>
  <si>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</si>
  <si>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</si>
  <si>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</si>
  <si>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</si>
  <si>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</si>
  <si>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</si>
  <si>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</si>
  <si>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</si>
  <si>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</si>
  <si>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</si>
  <si>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</si>
  <si>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</si>
  <si>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</si>
  <si>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</si>
  <si>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</si>
  <si>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</si>
  <si>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</si>
  <si>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</si>
  <si>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</si>
  <si>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</si>
  <si>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</si>
  <si>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</si>
  <si>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</si>
  <si>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</si>
  <si>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</si>
  <si>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</si>
  <si>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</si>
  <si>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</si>
  <si>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</si>
  <si>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</si>
  <si>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</si>
  <si>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</si>
  <si>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</si>
  <si>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</si>
  <si>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</si>
  <si>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</si>
  <si>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</si>
  <si>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</si>
  <si>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</si>
  <si>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</si>
  <si>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</si>
  <si>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</si>
  <si>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</si>
  <si>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</si>
  <si>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</si>
  <si>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</si>
  <si>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</si>
  <si>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</si>
  <si>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</si>
  <si>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</si>
  <si>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</si>
  <si>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</si>
  <si>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</si>
  <si>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</si>
  <si>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</si>
  <si>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</si>
  <si>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</si>
  <si>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</si>
  <si>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</si>
  <si>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</si>
  <si>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</si>
  <si>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</si>
  <si>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</si>
  <si>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</si>
  <si>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</si>
  <si>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</si>
  <si>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</si>
  <si>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</si>
  <si>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</si>
  <si>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</si>
  <si>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</si>
  <si>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</si>
  <si>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</si>
  <si>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</si>
  <si>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</si>
  <si>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</si>
  <si>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</si>
  <si>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</si>
  <si>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</si>
  <si>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</si>
  <si>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</si>
  <si>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</si>
  <si>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</si>
  <si>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</si>
  <si>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</si>
  <si>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</si>
  <si>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</si>
  <si>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</si>
  <si>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</si>
  <si>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</si>
  <si>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</si>
  <si>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</si>
  <si>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</si>
  <si>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</si>
  <si>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</si>
  <si>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</si>
  <si>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</si>
  <si>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</si>
  <si>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</si>
  <si>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</si>
  <si>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</si>
  <si>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</si>
  <si>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</si>
  <si>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</si>
  <si>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</si>
  <si>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</si>
  <si>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</si>
  <si>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</si>
  <si>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</si>
  <si>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</si>
  <si>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</si>
  <si>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</si>
  <si>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</si>
  <si>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</si>
  <si>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</si>
  <si>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</si>
  <si>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</si>
  <si>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</si>
  <si>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</si>
  <si>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</si>
  <si>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</si>
  <si>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</si>
  <si>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</si>
  <si>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</si>
  <si>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</si>
  <si>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</si>
  <si>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</si>
  <si>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</si>
  <si>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</si>
  <si>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</si>
  <si>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</si>
  <si>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</si>
  <si>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</si>
  <si>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</si>
  <si>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</si>
  <si>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</si>
  <si>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</si>
  <si>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</si>
  <si>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</si>
  <si>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</si>
  <si>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</si>
  <si>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</si>
  <si>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</si>
  <si>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</si>
  <si>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</si>
  <si>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</si>
  <si>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</si>
  <si>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</si>
  <si>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</si>
  <si>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</si>
  <si>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</si>
  <si>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</si>
  <si>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</si>
  <si>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</si>
  <si>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</si>
  <si>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</si>
  <si>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</si>
  <si>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</si>
  <si>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</si>
  <si>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</si>
  <si>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</si>
  <si>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</si>
  <si>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</si>
  <si>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</si>
  <si>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</si>
  <si>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</si>
  <si>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</si>
  <si>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</si>
  <si>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</si>
  <si>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</si>
  <si>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</si>
  <si>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</si>
  <si>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</si>
  <si>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</si>
  <si>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</si>
  <si>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</si>
  <si>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</si>
  <si>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</si>
  <si>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</si>
  <si>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</si>
  <si>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</si>
  <si>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</si>
  <si>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</si>
  <si>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</si>
  <si>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</si>
  <si>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</si>
  <si>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</si>
  <si>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</si>
  <si>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</si>
  <si>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</si>
  <si>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</si>
  <si>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</si>
  <si>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</si>
  <si>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</si>
  <si>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</si>
  <si>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</si>
  <si>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</si>
  <si>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</si>
  <si>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</si>
  <si>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</si>
  <si>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</si>
  <si>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</si>
  <si>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</si>
  <si>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</si>
  <si>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</si>
  <si>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</si>
  <si>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</si>
  <si>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</si>
  <si>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</si>
  <si>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</si>
  <si>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</si>
  <si>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</si>
  <si>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</si>
  <si>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</si>
  <si>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</si>
  <si>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</si>
  <si>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</si>
  <si>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</si>
  <si>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</si>
  <si>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</si>
  <si>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</si>
  <si>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</si>
  <si>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</si>
  <si>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</si>
  <si>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</si>
  <si>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</si>
  <si>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</si>
  <si>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</si>
  <si>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</si>
  <si>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</si>
  <si>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</si>
  <si>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</si>
  <si>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</si>
  <si>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</si>
  <si>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</si>
  <si>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</si>
  <si>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</si>
  <si>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</si>
  <si>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</si>
  <si>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</si>
  <si>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</si>
  <si>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</si>
  <si>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</si>
  <si>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</si>
  <si>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</si>
  <si>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</si>
  <si>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</si>
  <si>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</si>
  <si>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</si>
  <si>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</si>
  <si>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</si>
  <si>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</si>
  <si>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</si>
  <si>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</si>
  <si>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</si>
  <si>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</si>
  <si>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</si>
  <si>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</si>
  <si>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</si>
  <si>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</si>
  <si>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</si>
  <si>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</si>
  <si>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</si>
  <si>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</si>
  <si>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</si>
  <si>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</si>
  <si>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</si>
  <si>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</si>
  <si>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</si>
  <si>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</si>
  <si>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</si>
  <si>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</si>
  <si>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</si>
  <si>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</si>
  <si>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</si>
  <si>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</si>
  <si>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</si>
  <si>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</si>
  <si>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</si>
  <si>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</si>
  <si>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</si>
  <si>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</si>
  <si>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</si>
  <si>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</si>
  <si>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</si>
  <si>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</si>
  <si>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</si>
  <si>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</si>
  <si>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</si>
  <si>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</si>
  <si>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</si>
  <si>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</si>
  <si>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</si>
  <si>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</si>
  <si>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</si>
  <si>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</si>
  <si>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</si>
  <si>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</si>
  <si>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</si>
  <si>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</si>
  <si>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</si>
  <si>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</si>
  <si>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</si>
  <si>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</si>
  <si>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</si>
  <si>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</si>
  <si>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</si>
  <si>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</si>
  <si>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</si>
  <si>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</si>
  <si>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</si>
  <si>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</si>
  <si>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</si>
  <si>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</si>
  <si>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</si>
  <si>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</si>
  <si>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</si>
  <si>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</si>
  <si>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</si>
  <si>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</si>
  <si>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</si>
  <si>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</si>
  <si>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</si>
  <si>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</si>
  <si>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</si>
  <si>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</si>
  <si>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</si>
  <si>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</si>
  <si>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</si>
  <si>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</si>
  <si>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</si>
  <si>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</si>
  <si>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</si>
  <si>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</si>
  <si>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</si>
  <si>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</si>
  <si>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</si>
  <si>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</si>
  <si>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</si>
  <si>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</si>
  <si>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</si>
  <si>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</si>
  <si>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</si>
  <si>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</si>
  <si>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</si>
  <si>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</si>
  <si>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</si>
  <si>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</si>
  <si>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</si>
  <si>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</si>
  <si>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</si>
  <si>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</si>
  <si>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</si>
  <si>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</si>
  <si>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</si>
  <si>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</si>
  <si>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</si>
  <si>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</si>
  <si>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</si>
  <si>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</si>
  <si>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</si>
  <si>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</si>
  <si>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</si>
  <si>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</si>
  <si>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</si>
  <si>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</si>
  <si>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</si>
  <si>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</si>
  <si>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</si>
  <si>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</si>
  <si>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</si>
  <si>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</si>
  <si>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</si>
  <si>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</si>
  <si>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</si>
  <si>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</si>
  <si>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</si>
  <si>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</si>
  <si>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</si>
  <si>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</si>
  <si>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</si>
  <si>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</si>
  <si>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</si>
  <si>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</si>
  <si>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</si>
  <si>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</si>
  <si>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</si>
  <si>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</si>
  <si>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</si>
  <si>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</si>
  <si>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</si>
  <si>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</si>
  <si>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</si>
  <si>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</si>
  <si>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</si>
  <si>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</si>
  <si>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</si>
  <si>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</si>
  <si>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</si>
  <si>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</si>
  <si>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</si>
  <si>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</si>
  <si>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</si>
  <si>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</si>
  <si>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</si>
  <si>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</si>
  <si>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</si>
  <si>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</si>
  <si>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</si>
  <si>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</si>
  <si>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</si>
  <si>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</si>
  <si>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</si>
  <si>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</si>
  <si>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</si>
  <si>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</si>
  <si>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</si>
  <si>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</si>
  <si>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</si>
  <si>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</si>
  <si>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</si>
  <si>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</si>
  <si>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</si>
  <si>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</si>
  <si>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</si>
  <si>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</si>
  <si>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</si>
  <si>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</si>
  <si>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</si>
  <si>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</si>
  <si>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</si>
  <si>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</si>
  <si>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</si>
  <si>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</si>
  <si>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</si>
  <si>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</si>
  <si>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</si>
  <si>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</si>
  <si>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</si>
  <si>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</si>
  <si>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</si>
  <si>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</si>
  <si>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</si>
  <si>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</si>
  <si>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</si>
  <si>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</si>
  <si>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</si>
  <si>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</si>
  <si>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</si>
  <si>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</si>
  <si>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</si>
  <si>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</si>
  <si>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</si>
  <si>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</si>
  <si>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</si>
  <si>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</si>
  <si>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</si>
  <si>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</si>
  <si>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</si>
  <si>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</si>
  <si>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</si>
  <si>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</si>
  <si>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</si>
  <si>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</si>
  <si>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</si>
  <si>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</si>
  <si>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</si>
  <si>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</si>
  <si>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</si>
  <si>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</si>
  <si>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</si>
  <si>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</si>
  <si>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</si>
  <si>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</si>
  <si>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</si>
  <si>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</si>
  <si>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</si>
  <si>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</si>
  <si>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</si>
  <si>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</si>
  <si>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</si>
  <si>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</si>
  <si>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</si>
  <si>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</si>
  <si>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</si>
  <si>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</si>
  <si>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</si>
  <si>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</si>
  <si>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</si>
  <si>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</si>
  <si>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</si>
  <si>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</si>
  <si>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</si>
  <si>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</si>
  <si>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</si>
  <si>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</si>
  <si>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</si>
  <si>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</si>
  <si>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</si>
  <si>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</si>
  <si>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</si>
  <si>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</si>
  <si>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</si>
  <si>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</si>
  <si>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</si>
  <si>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</si>
  <si>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</si>
  <si>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</si>
  <si>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</si>
  <si>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</si>
  <si>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</si>
  <si>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</si>
  <si>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</si>
  <si>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</si>
  <si>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</si>
  <si>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</si>
  <si>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</si>
  <si>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</si>
  <si>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</si>
  <si>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</si>
  <si>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</si>
  <si>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</si>
  <si>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</si>
  <si>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</si>
  <si>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</si>
  <si>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</si>
  <si>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</si>
  <si>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</si>
  <si>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</si>
  <si>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</si>
  <si>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</si>
  <si>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</si>
  <si>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</si>
  <si>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</si>
  <si>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</si>
  <si>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</si>
  <si>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</si>
  <si>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</si>
  <si>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</si>
  <si>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</si>
  <si>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</si>
  <si>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</si>
  <si>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</si>
  <si>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</si>
  <si>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</si>
  <si>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</si>
  <si>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</si>
  <si>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</si>
  <si>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</si>
  <si>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</si>
  <si>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</si>
  <si>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</si>
  <si>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</si>
  <si>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</si>
  <si>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</si>
  <si>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</si>
  <si>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</si>
  <si>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</si>
  <si>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</si>
  <si>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</si>
  <si>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</si>
  <si>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</si>
  <si>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</si>
  <si>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</si>
  <si>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</si>
  <si>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</si>
  <si>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</si>
  <si>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</si>
  <si>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</si>
  <si>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</si>
  <si>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</si>
  <si>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</si>
  <si>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</si>
  <si>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</si>
  <si>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</si>
  <si>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</si>
  <si>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</si>
  <si>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</si>
  <si>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</si>
  <si>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</si>
  <si>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</si>
  <si>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</si>
  <si>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</si>
  <si>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</si>
  <si>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</si>
  <si>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</si>
  <si>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</si>
  <si>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</si>
  <si>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</si>
  <si>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</si>
  <si>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</si>
  <si>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</si>
  <si>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</si>
  <si>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</si>
  <si>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</si>
  <si>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</si>
  <si>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</si>
  <si>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</si>
  <si>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</si>
  <si>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</si>
  <si>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</si>
  <si>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</si>
  <si>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</si>
  <si>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</si>
  <si>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</si>
  <si>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</si>
  <si>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</si>
  <si>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</si>
  <si>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</si>
  <si>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</si>
  <si>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</si>
  <si>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</si>
  <si>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</si>
  <si>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</si>
  <si>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</si>
  <si>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</si>
  <si>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</si>
  <si>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</si>
  <si>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</si>
  <si>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</si>
  <si>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</si>
  <si>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</si>
  <si>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</si>
  <si>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</si>
  <si>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</si>
  <si>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</si>
  <si>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</si>
  <si>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</si>
  <si>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</si>
  <si>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</si>
  <si>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</si>
  <si>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</si>
  <si>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</si>
  <si>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</si>
  <si>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</si>
  <si>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</si>
  <si>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</si>
  <si>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</si>
  <si>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</si>
  <si>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</si>
  <si>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</si>
  <si>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</si>
  <si>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</si>
  <si>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</si>
  <si>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</si>
  <si>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</si>
  <si>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</si>
  <si>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</si>
  <si>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</si>
  <si>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</si>
  <si>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</si>
  <si>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</si>
  <si>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</si>
  <si>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</si>
  <si>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</si>
  <si>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</si>
  <si>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</si>
  <si>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</si>
  <si>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</si>
  <si>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</si>
  <si>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</si>
  <si>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</si>
  <si>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</si>
  <si>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</si>
  <si>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</si>
  <si>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</si>
  <si>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</si>
  <si>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</si>
  <si>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</si>
  <si>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</si>
  <si>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</si>
  <si>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</si>
  <si>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</si>
  <si>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</si>
  <si>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</si>
  <si>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</si>
  <si>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</si>
  <si>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</si>
  <si>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</si>
  <si>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</si>
  <si>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</si>
  <si>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</si>
  <si>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</si>
  <si>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</si>
  <si>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</si>
  <si>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</si>
  <si>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</si>
  <si>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</si>
  <si>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</si>
  <si>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</si>
  <si>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</si>
  <si>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</si>
  <si>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</si>
  <si>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</si>
  <si>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</si>
  <si>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</si>
  <si>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</si>
  <si>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</si>
  <si>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</si>
  <si>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</si>
  <si>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</si>
  <si>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</si>
  <si>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</si>
  <si>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</si>
  <si>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</si>
  <si>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</si>
  <si>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</si>
  <si>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</si>
  <si>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</si>
  <si>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</si>
  <si>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</si>
  <si>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</si>
  <si>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</si>
  <si>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</si>
  <si>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</si>
  <si>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</si>
  <si>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</si>
  <si>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</si>
  <si>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</si>
  <si>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</si>
  <si>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</si>
  <si>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</si>
  <si>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</si>
  <si>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</si>
  <si>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</si>
  <si>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</si>
  <si>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</si>
  <si>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</si>
  <si>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</si>
  <si>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</si>
  <si>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</si>
  <si>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</si>
  <si>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</si>
  <si>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</si>
  <si>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</si>
  <si>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</si>
  <si>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</si>
  <si>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</si>
  <si>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</si>
  <si>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</si>
  <si>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</si>
  <si>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</si>
  <si>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</si>
  <si>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</si>
  <si>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</si>
  <si>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</si>
  <si>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</si>
  <si>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</si>
  <si>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</si>
  <si>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</si>
  <si>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</si>
  <si>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</si>
  <si>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</si>
  <si>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</si>
  <si>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</si>
  <si>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</si>
  <si>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</si>
  <si>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</si>
  <si>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</si>
  <si>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</si>
  <si>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</si>
  <si>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</si>
  <si>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</si>
  <si>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</si>
  <si>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</si>
  <si>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</si>
  <si>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</si>
  <si>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</si>
  <si>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</si>
  <si>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</si>
  <si>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</si>
  <si>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</si>
  <si>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</si>
  <si>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</si>
  <si>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</si>
  <si>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</si>
  <si>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</si>
  <si>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</si>
  <si>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</si>
  <si>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</si>
  <si>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</si>
  <si>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</si>
  <si>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</si>
  <si>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</si>
  <si>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</si>
  <si>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</si>
  <si>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</si>
  <si>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</si>
  <si>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</si>
  <si>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</si>
  <si>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</si>
  <si>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</si>
  <si>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</si>
  <si>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</si>
  <si>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</si>
  <si>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</si>
  <si>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</si>
  <si>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</si>
  <si>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</si>
  <si>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</si>
  <si>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</si>
  <si>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</si>
  <si>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</si>
  <si>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</si>
  <si>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</si>
  <si>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</si>
  <si>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</si>
  <si>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</si>
  <si>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</si>
  <si>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</si>
  <si>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</si>
  <si>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</si>
  <si>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</si>
  <si>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</si>
  <si>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</si>
  <si>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</si>
  <si>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</si>
  <si>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</si>
  <si>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</si>
  <si>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</si>
  <si>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</si>
  <si>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</si>
  <si>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</si>
  <si>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</si>
  <si>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</si>
  <si>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</si>
  <si>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</si>
  <si>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</si>
  <si>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</si>
  <si>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</si>
  <si>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</si>
  <si>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</si>
  <si>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</si>
  <si>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</si>
  <si>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</si>
  <si>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</si>
  <si>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</si>
  <si>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</si>
  <si>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</si>
  <si>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</si>
  <si>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</si>
  <si>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</si>
  <si>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</si>
  <si>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</si>
  <si>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</si>
  <si>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</si>
  <si>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</si>
  <si>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</si>
  <si>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</si>
  <si>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</si>
  <si>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</si>
  <si>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</si>
  <si>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</si>
  <si>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</si>
  <si>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</si>
  <si>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</si>
  <si>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</si>
  <si>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</si>
  <si>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</si>
  <si>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</si>
  <si>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</si>
  <si>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</si>
  <si>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</si>
  <si>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</si>
  <si>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</si>
  <si>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</si>
  <si>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</si>
  <si>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</si>
  <si>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</si>
  <si>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</si>
  <si>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</si>
  <si>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</si>
  <si>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</si>
  <si>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</si>
  <si>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</si>
  <si>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</si>
  <si>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</si>
  <si>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</si>
  <si>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</si>
  <si>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</si>
  <si>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</si>
  <si>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</si>
  <si>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</si>
  <si>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</si>
  <si>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</si>
  <si>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</si>
  <si>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</si>
  <si>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</si>
  <si>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</si>
  <si>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</si>
  <si>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</si>
  <si>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</si>
  <si>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</si>
  <si>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</si>
  <si>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</si>
  <si>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</si>
  <si>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</si>
  <si>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</si>
  <si>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</si>
  <si>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</si>
  <si>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</si>
  <si>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</si>
  <si>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</si>
  <si>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</si>
  <si>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</si>
  <si>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</si>
  <si>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</si>
  <si>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</si>
  <si>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</si>
  <si>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</si>
  <si>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</si>
  <si>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</si>
  <si>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</si>
  <si>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</si>
  <si>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</si>
  <si>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</si>
  <si>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</si>
  <si>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</si>
  <si>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</si>
  <si>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</si>
  <si>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</si>
  <si>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</si>
  <si>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</si>
  <si>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</si>
  <si>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</si>
  <si>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</si>
  <si>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</si>
  <si>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</si>
  <si>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</si>
  <si>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</si>
  <si>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</si>
  <si>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</si>
  <si>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</si>
  <si>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</si>
  <si>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</si>
  <si>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</si>
  <si>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</si>
  <si>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</si>
  <si>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</si>
  <si>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</si>
  <si>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</si>
  <si>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</si>
  <si>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</si>
  <si>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</si>
  <si>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</si>
  <si>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</si>
  <si>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</si>
  <si>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</si>
  <si>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</si>
  <si>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</si>
  <si>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</si>
  <si>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</si>
  <si>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</si>
  <si>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</si>
  <si>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</si>
  <si>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</si>
  <si>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</si>
  <si>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</si>
  <si>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</si>
  <si>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</si>
  <si>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</si>
  <si>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</si>
  <si>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</si>
  <si>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</si>
  <si>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</si>
  <si>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</si>
  <si>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</si>
  <si>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</si>
  <si>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</si>
  <si>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</si>
  <si>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</si>
  <si>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</si>
  <si>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</si>
  <si>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</si>
  <si>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</si>
  <si>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</si>
  <si>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</si>
  <si>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</si>
  <si>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</si>
  <si>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</si>
  <si>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</si>
  <si>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</si>
  <si>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</si>
  <si>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</si>
  <si>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</si>
  <si>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</si>
  <si>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</si>
  <si>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</si>
  <si>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</si>
  <si>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</si>
  <si>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</si>
  <si>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</si>
  <si>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</si>
  <si>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</si>
  <si>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</si>
  <si>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</si>
  <si>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</si>
  <si>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</si>
  <si>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</si>
  <si>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</si>
  <si>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</si>
  <si>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</si>
  <si>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</si>
  <si>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</si>
  <si>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</si>
  <si>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</si>
  <si>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</si>
  <si>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</si>
  <si>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</si>
  <si>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</si>
  <si>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</si>
  <si>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</si>
  <si>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</si>
  <si>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</si>
  <si>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</si>
  <si>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</si>
  <si>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</si>
  <si>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</si>
  <si>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</si>
  <si>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</si>
  <si>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</si>
  <si>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</si>
  <si>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</si>
  <si>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</si>
  <si>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</si>
  <si>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</si>
  <si>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</si>
  <si>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</si>
  <si>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</si>
  <si>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</si>
  <si>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</si>
  <si>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</si>
  <si>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</si>
  <si>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</si>
  <si>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</si>
  <si>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</si>
  <si>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</si>
  <si>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</si>
  <si>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</si>
  <si>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</si>
  <si>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</si>
  <si>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</si>
  <si>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</si>
  <si>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</si>
  <si>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</si>
  <si>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</si>
  <si>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</si>
  <si>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</si>
  <si>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</si>
  <si>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</si>
  <si>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</si>
  <si>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</si>
  <si>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</si>
  <si>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</si>
  <si>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</si>
  <si>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</si>
  <si>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</si>
  <si>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</si>
  <si>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</si>
  <si>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</si>
  <si>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</si>
  <si>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</si>
  <si>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</si>
  <si>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</si>
  <si>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</si>
  <si>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</si>
  <si>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</si>
  <si>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</si>
  <si>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</si>
  <si>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</si>
  <si>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</si>
  <si>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</si>
  <si>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</si>
  <si>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</si>
  <si>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</si>
  <si>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</si>
  <si>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</si>
  <si>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</si>
  <si>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</si>
  <si>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</si>
  <si>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</si>
  <si>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</si>
  <si>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</si>
  <si>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</si>
  <si>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</si>
  <si>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</si>
  <si>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</si>
  <si>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</si>
  <si>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</si>
  <si>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</si>
  <si>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</si>
  <si>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</si>
  <si>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</si>
  <si>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</si>
  <si>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</si>
  <si>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</si>
  <si>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</si>
  <si>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</si>
  <si>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</si>
  <si>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</si>
  <si>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</si>
  <si>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</si>
  <si>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</si>
  <si>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</si>
  <si>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</si>
  <si>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</si>
  <si>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</si>
  <si>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</si>
  <si>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</si>
  <si>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</si>
  <si>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</si>
  <si>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</si>
  <si>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</si>
  <si>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</si>
  <si>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</si>
  <si>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</si>
  <si>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</si>
  <si>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</si>
  <si>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</si>
  <si>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</si>
  <si>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</si>
  <si>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</si>
  <si>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</si>
  <si>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</si>
  <si>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</si>
  <si>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</si>
  <si>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</si>
  <si>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</si>
  <si>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</si>
  <si>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</si>
  <si>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</si>
  <si>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</si>
  <si>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</si>
  <si>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</si>
  <si>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</si>
  <si>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</si>
  <si>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</si>
  <si>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</si>
  <si>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</si>
  <si>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</si>
  <si>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</si>
  <si>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</si>
  <si>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</si>
  <si>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</si>
  <si>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</si>
  <si>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</si>
  <si>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</si>
  <si>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</si>
  <si>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</si>
  <si>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</si>
  <si>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</si>
  <si>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</si>
  <si>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</si>
  <si>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</si>
  <si>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</si>
  <si>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</si>
  <si>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</si>
  <si>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</si>
  <si>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</si>
  <si>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</si>
  <si>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</si>
  <si>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</si>
  <si>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</si>
  <si>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</si>
  <si>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</si>
  <si>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</si>
  <si>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</si>
  <si>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</si>
  <si>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</si>
  <si>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</si>
  <si>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</si>
  <si>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</si>
  <si>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</si>
  <si>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</si>
  <si>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</si>
  <si>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</si>
  <si>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</si>
  <si>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</si>
  <si>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</si>
  <si>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</si>
  <si>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</si>
  <si>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</si>
  <si>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</si>
  <si>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</si>
  <si>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</si>
  <si>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</si>
  <si>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</si>
  <si>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</si>
  <si>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</si>
  <si>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</si>
  <si>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</si>
  <si>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</si>
  <si>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</si>
  <si>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</si>
  <si>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</si>
  <si>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</si>
  <si>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</si>
  <si>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</si>
  <si>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</si>
  <si>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</si>
  <si>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</si>
  <si>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</si>
  <si>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</si>
  <si>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</si>
  <si>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</si>
  <si>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</si>
  <si>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</si>
  <si>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</si>
  <si>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</si>
  <si>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</si>
  <si>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</si>
  <si>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</si>
  <si>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</si>
  <si>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</si>
  <si>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</si>
  <si>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</si>
  <si>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</si>
  <si>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</si>
  <si>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</si>
  <si>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</si>
  <si>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</si>
  <si>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</si>
  <si>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</si>
  <si>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</si>
  <si>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</si>
  <si>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</si>
  <si>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</si>
  <si>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</si>
  <si>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</si>
  <si>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</si>
  <si>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</si>
  <si>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</si>
  <si>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</si>
  <si>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</si>
  <si>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</si>
  <si>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</si>
  <si>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</si>
  <si>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</si>
  <si>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</si>
  <si>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</si>
  <si>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</si>
  <si>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</si>
  <si>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</si>
  <si>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</si>
  <si>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</si>
  <si>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</si>
  <si>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</si>
  <si>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</si>
  <si>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</si>
  <si>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</si>
  <si>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</si>
  <si>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</si>
  <si>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</si>
  <si>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</si>
  <si>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</si>
  <si>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</si>
  <si>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</si>
  <si>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</si>
  <si>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</si>
  <si>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</si>
  <si>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</si>
  <si>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</si>
  <si>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</si>
  <si>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</si>
  <si>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</si>
  <si>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</si>
  <si>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</si>
  <si>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</si>
  <si>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</si>
  <si>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</si>
  <si>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</si>
  <si>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</si>
  <si>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</si>
  <si>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</si>
  <si>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</si>
  <si>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</si>
  <si>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</si>
  <si>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</si>
  <si>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</si>
  <si>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</si>
  <si>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</si>
  <si>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</si>
  <si>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</si>
  <si>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</si>
  <si>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</si>
  <si>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</si>
  <si>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</si>
  <si>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</si>
  <si>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</si>
  <si>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</si>
  <si>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</si>
  <si>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</si>
  <si>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</si>
  <si>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</si>
  <si>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</si>
  <si>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</si>
  <si>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</si>
  <si>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</si>
  <si>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</si>
  <si>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</si>
  <si>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</si>
  <si>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</si>
  <si>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</si>
  <si>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</si>
  <si>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</si>
  <si>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</si>
  <si>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</si>
  <si>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</si>
  <si>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</si>
  <si>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</si>
  <si>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</si>
  <si>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</si>
  <si>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</si>
  <si>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</si>
  <si>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</si>
  <si>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</si>
  <si>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</si>
  <si>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</si>
  <si>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</si>
  <si>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</si>
  <si>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</si>
  <si>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</si>
  <si>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</si>
  <si>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</si>
  <si>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</si>
  <si>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</si>
  <si>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</si>
  <si>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</si>
  <si>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</si>
  <si>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</si>
  <si>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</si>
  <si>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</si>
  <si>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</si>
  <si>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</si>
  <si>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</si>
  <si>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</si>
  <si>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</si>
  <si>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</si>
  <si>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</si>
  <si>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</si>
  <si>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</si>
  <si>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</si>
  <si>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</si>
  <si>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</si>
  <si>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</si>
  <si>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</si>
  <si>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</si>
  <si>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</si>
  <si>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</si>
  <si>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</si>
  <si>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</si>
  <si>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</si>
  <si>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</si>
  <si>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</si>
  <si>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</si>
  <si>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</si>
  <si>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</si>
  <si>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</si>
  <si>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</si>
  <si>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</si>
  <si>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</si>
  <si>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</si>
  <si>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</si>
  <si>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</si>
  <si>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</si>
  <si>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</si>
  <si>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</si>
  <si>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</si>
  <si>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</si>
  <si>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</si>
  <si>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</si>
  <si>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</si>
  <si>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</si>
  <si>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</si>
  <si>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</si>
  <si>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</si>
  <si>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</si>
  <si>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</si>
  <si>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</si>
  <si>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</si>
  <si>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</si>
  <si>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</si>
  <si>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</si>
  <si>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</si>
  <si>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</si>
  <si>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</si>
  <si>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</si>
  <si>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</si>
  <si>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</si>
  <si>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</si>
  <si>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</si>
  <si>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</si>
  <si>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</si>
  <si>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</si>
  <si>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</si>
  <si>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</si>
  <si>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</si>
  <si>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</si>
  <si>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</si>
  <si>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</si>
  <si>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</si>
  <si>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</si>
  <si>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</si>
  <si>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</si>
  <si>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</si>
  <si>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</si>
  <si>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</si>
  <si>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</si>
  <si>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</si>
  <si>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</si>
  <si>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</si>
  <si>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</si>
  <si>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</si>
  <si>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</si>
  <si>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</si>
  <si>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</si>
  <si>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</si>
  <si>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</si>
  <si>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</si>
  <si>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</si>
  <si>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</si>
  <si>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</si>
  <si>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</si>
  <si>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</si>
  <si>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</si>
  <si>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</si>
  <si>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</si>
  <si>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</si>
  <si>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</si>
  <si>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</si>
  <si>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</si>
  <si>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</si>
  <si>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</si>
  <si>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</si>
  <si>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</si>
  <si>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</si>
  <si>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</si>
  <si>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</si>
  <si>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</si>
  <si>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</si>
  <si>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</si>
  <si>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</si>
  <si>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</si>
  <si>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</si>
  <si>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</si>
  <si>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</si>
  <si>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</si>
  <si>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</si>
  <si>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</si>
  <si>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</si>
  <si>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</si>
  <si>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</si>
  <si>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</si>
  <si>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</si>
  <si>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</si>
  <si>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</si>
  <si>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</si>
  <si>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</si>
  <si>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</si>
  <si>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</si>
  <si>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</si>
  <si>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</si>
  <si>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</si>
  <si>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</si>
  <si>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</si>
  <si>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</si>
  <si>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</si>
  <si>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</si>
  <si>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</si>
  <si>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</si>
  <si>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</si>
  <si>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</si>
  <si>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</si>
  <si>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</si>
  <si>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</si>
  <si>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</si>
  <si>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</si>
  <si>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</si>
  <si>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</si>
  <si>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</si>
  <si>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</si>
  <si>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</si>
  <si>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</si>
  <si>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</si>
  <si>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</si>
  <si>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</si>
  <si>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</si>
  <si>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</si>
  <si>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</si>
  <si>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</si>
  <si>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</si>
  <si>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</si>
  <si>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</si>
  <si>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</si>
  <si>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</si>
  <si>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</si>
  <si>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</si>
  <si>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</si>
  <si>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</si>
  <si>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</si>
  <si>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</si>
  <si>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</si>
  <si>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</si>
  <si>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</si>
  <si>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</si>
  <si>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</si>
  <si>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</si>
  <si>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</si>
  <si>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</si>
  <si>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</si>
  <si>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</si>
  <si>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</si>
  <si>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</si>
  <si>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</si>
  <si>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</si>
  <si>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</si>
  <si>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</si>
  <si>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</si>
  <si>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</si>
  <si>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</si>
  <si>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</si>
  <si>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</si>
  <si>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</si>
  <si>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</si>
  <si>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</si>
  <si>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</si>
  <si>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</si>
  <si>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</si>
  <si>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</si>
  <si>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</si>
  <si>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</si>
  <si>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</si>
  <si>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</si>
  <si>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</si>
  <si>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</si>
  <si>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</si>
  <si>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</si>
  <si>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</si>
  <si>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</si>
  <si>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</si>
  <si>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</si>
  <si>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</si>
  <si>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</si>
  <si>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</si>
  <si>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</si>
  <si>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</si>
  <si>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</si>
  <si>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</si>
  <si>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</si>
  <si>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</si>
  <si>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</si>
  <si>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</si>
  <si>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</si>
  <si>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</si>
  <si>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</si>
  <si>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</si>
  <si>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</si>
  <si>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</si>
  <si>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</si>
  <si>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</si>
  <si>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</si>
  <si>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</si>
  <si>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</si>
  <si>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</si>
  <si>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</si>
  <si>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</si>
  <si>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</si>
  <si>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</si>
  <si>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</si>
  <si>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</si>
  <si>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</si>
  <si>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</si>
  <si>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</si>
  <si>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</si>
  <si>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</si>
  <si>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</si>
  <si>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</si>
  <si>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</si>
  <si>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</si>
  <si>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</si>
  <si>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</si>
  <si>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</si>
  <si>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</si>
  <si>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</si>
  <si>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</si>
  <si>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</si>
  <si>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</si>
  <si>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</si>
  <si>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</si>
  <si>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</si>
  <si>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</si>
  <si>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</si>
  <si>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</si>
  <si>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</si>
  <si>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</si>
  <si>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</si>
  <si>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</si>
  <si>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</si>
  <si>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</si>
  <si>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</si>
  <si>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</si>
  <si>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</si>
  <si>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</si>
  <si>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</si>
  <si>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</si>
  <si>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</si>
  <si>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</si>
  <si>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</si>
  <si>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</si>
  <si>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</si>
  <si>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</si>
  <si>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</si>
  <si>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</si>
  <si>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</si>
  <si>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</si>
  <si>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</si>
  <si>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</si>
  <si>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</si>
  <si>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</si>
  <si>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</si>
  <si>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</si>
  <si>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</si>
  <si>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</si>
  <si>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</si>
  <si>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</si>
  <si>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</si>
  <si>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</si>
  <si>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</si>
  <si>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</si>
  <si>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</si>
  <si>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</si>
  <si>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</si>
  <si>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</si>
  <si>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</si>
  <si>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</si>
  <si>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</si>
  <si>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</si>
  <si>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</si>
  <si>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</si>
  <si>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</si>
  <si>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</si>
  <si>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</si>
  <si>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</si>
  <si>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</si>
  <si>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</si>
  <si>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</si>
  <si>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</si>
  <si>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</si>
  <si>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</si>
  <si>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</si>
  <si>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</si>
  <si>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</si>
  <si>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</si>
  <si>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</si>
  <si>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</si>
  <si>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</si>
  <si>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</si>
  <si>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</si>
  <si>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</si>
  <si>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</si>
  <si>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</si>
  <si>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</si>
  <si>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</si>
  <si>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</si>
  <si>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</si>
  <si>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</si>
  <si>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</si>
  <si>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</si>
  <si>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</si>
  <si>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</si>
  <si>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</si>
  <si>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</si>
  <si>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</si>
  <si>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</si>
  <si>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</si>
  <si>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</si>
  <si>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</si>
  <si>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</si>
  <si>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</si>
  <si>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</si>
  <si>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</si>
  <si>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</si>
  <si>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</si>
  <si>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</si>
  <si>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</si>
  <si>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</si>
  <si>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</si>
  <si>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</si>
  <si>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</si>
  <si>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</si>
  <si>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</si>
  <si>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</si>
  <si>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</si>
  <si>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</si>
  <si>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</si>
  <si>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</si>
  <si>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</si>
  <si>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</si>
  <si>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</si>
  <si>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</si>
  <si>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</si>
  <si>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</si>
  <si>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</si>
  <si>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</si>
  <si>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</si>
  <si>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</si>
  <si>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</si>
  <si>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</si>
  <si>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</si>
  <si>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</si>
  <si>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</si>
  <si>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</si>
  <si>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</si>
  <si>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</si>
  <si>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</si>
  <si>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</si>
  <si>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</si>
  <si>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</si>
  <si>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</si>
  <si>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</si>
  <si>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</si>
  <si>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</si>
  <si>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</si>
  <si>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</si>
  <si>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</si>
  <si>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</si>
  <si>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</si>
  <si>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</si>
  <si>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</si>
  <si>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</si>
  <si>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</si>
  <si>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</si>
  <si>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</si>
  <si>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</si>
  <si>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</si>
  <si>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</si>
  <si>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</si>
  <si>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</si>
  <si>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</si>
  <si>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</si>
  <si>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</si>
  <si>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</si>
  <si>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</si>
  <si>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</si>
  <si>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</si>
  <si>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</si>
  <si>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</si>
  <si>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</si>
  <si>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</si>
  <si>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</si>
  <si>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</si>
  <si>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</si>
  <si>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</si>
  <si>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</si>
  <si>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</si>
  <si>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</si>
  <si>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</si>
  <si>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</si>
  <si>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</si>
  <si>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</si>
  <si>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</si>
  <si>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</si>
  <si>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</si>
  <si>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</si>
  <si>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</si>
  <si>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</si>
  <si>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</si>
  <si>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</si>
  <si>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</si>
  <si>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</si>
  <si>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</si>
  <si>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</si>
  <si>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</si>
  <si>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</si>
  <si>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</si>
  <si>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</si>
  <si>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</si>
  <si>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</si>
  <si>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</si>
  <si>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</si>
  <si>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</si>
  <si>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</si>
  <si>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</si>
  <si>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</si>
  <si>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</si>
  <si>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</si>
  <si>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</si>
  <si>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</si>
  <si>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</si>
  <si>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</si>
  <si>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</si>
  <si>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</si>
  <si>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</si>
  <si>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</si>
  <si>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</si>
  <si>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</si>
  <si>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</si>
  <si>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</si>
  <si>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</si>
  <si>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</si>
  <si>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</si>
  <si>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</si>
  <si>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</si>
  <si>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</si>
  <si>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</si>
  <si>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</si>
  <si>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</si>
  <si>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</si>
  <si>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</si>
  <si>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</si>
  <si>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</si>
  <si>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</si>
  <si>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</si>
  <si>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</si>
  <si>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</si>
  <si>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</si>
  <si>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</si>
  <si>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</si>
  <si>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</si>
  <si>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</si>
  <si>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</si>
  <si>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</si>
  <si>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</si>
  <si>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</si>
  <si>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</si>
  <si>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</si>
  <si>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</si>
  <si>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</si>
  <si>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</si>
  <si>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</si>
  <si>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</si>
  <si>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</si>
  <si>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</si>
  <si>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</si>
  <si>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</si>
  <si>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</si>
  <si>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</si>
  <si>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</si>
  <si>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</si>
  <si>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</si>
  <si>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</si>
  <si>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</si>
  <si>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</si>
  <si>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</si>
  <si>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</si>
  <si>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</si>
  <si>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</si>
  <si>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</si>
  <si>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</si>
  <si>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</si>
  <si>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</si>
  <si>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</si>
  <si>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</si>
  <si>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</si>
  <si>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</si>
  <si>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</si>
  <si>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</si>
  <si>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</si>
  <si>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</si>
  <si>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</si>
  <si>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</si>
  <si>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</si>
  <si>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</si>
  <si>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</si>
  <si>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</si>
  <si>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</si>
  <si>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</si>
  <si>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</si>
  <si>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</si>
  <si>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</si>
  <si>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</si>
  <si>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</si>
  <si>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</si>
  <si>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</si>
  <si>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</si>
  <si>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</si>
  <si>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</si>
  <si>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</si>
  <si>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</si>
  <si>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</si>
  <si>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</si>
  <si>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</si>
  <si>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</si>
  <si>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</si>
  <si>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</si>
  <si>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</si>
  <si>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</si>
  <si>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</si>
  <si>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</si>
  <si>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</si>
  <si>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</si>
  <si>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</si>
  <si>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</si>
  <si>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</si>
  <si>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</si>
  <si>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</si>
  <si>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</si>
  <si>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</si>
  <si>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</si>
  <si>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</si>
  <si>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</si>
  <si>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</si>
  <si>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</si>
  <si>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</si>
  <si>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</si>
  <si>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</si>
  <si>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</si>
  <si>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</si>
  <si>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</si>
  <si>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</si>
  <si>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</si>
  <si>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</si>
  <si>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</si>
  <si>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</si>
  <si>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</si>
  <si>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</si>
  <si>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</si>
  <si>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</si>
  <si>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</si>
  <si>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</si>
  <si>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</si>
  <si>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</si>
  <si>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</si>
  <si>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</si>
  <si>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</si>
  <si>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</si>
  <si>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</si>
  <si>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</si>
  <si>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</si>
  <si>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</si>
  <si>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</si>
  <si>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</si>
  <si>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</si>
  <si>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</si>
  <si>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</si>
  <si>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</si>
  <si>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</si>
  <si>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</si>
  <si>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</si>
  <si>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</si>
  <si>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</si>
  <si>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</si>
  <si>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</si>
  <si>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</si>
  <si>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</si>
  <si>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</si>
  <si>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</si>
  <si>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</si>
  <si>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</si>
  <si>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</si>
  <si>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</si>
  <si>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</si>
  <si>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</si>
  <si>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</si>
  <si>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</si>
  <si>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</si>
  <si>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</si>
  <si>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</si>
  <si>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</si>
  <si>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</si>
  <si>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</si>
  <si>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</si>
  <si>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</si>
  <si>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</si>
  <si>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</si>
  <si>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</si>
  <si>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</si>
  <si>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</si>
  <si>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</si>
  <si>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</si>
  <si>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</si>
  <si>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</si>
  <si>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</si>
  <si>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</si>
  <si>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</si>
  <si>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</si>
  <si>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</si>
  <si>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</si>
  <si>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</si>
  <si>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</si>
  <si>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</si>
  <si>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</si>
  <si>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</si>
  <si>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</si>
  <si>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</si>
  <si>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</si>
  <si>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</si>
  <si>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</si>
  <si>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</si>
  <si>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</si>
  <si>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</si>
  <si>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</si>
  <si>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</si>
  <si>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</si>
  <si>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</si>
  <si>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</si>
  <si>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</si>
  <si>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</si>
  <si>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</si>
  <si>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</si>
  <si>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</si>
  <si>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</si>
  <si>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</si>
  <si>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</si>
  <si>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</si>
  <si>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</si>
  <si>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</si>
  <si>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</si>
  <si>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</si>
  <si>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</si>
  <si>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</si>
  <si>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</si>
  <si>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</si>
  <si>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</si>
  <si>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</si>
  <si>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</si>
  <si>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</si>
  <si>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</si>
  <si>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</si>
  <si>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</si>
  <si>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</si>
  <si>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</si>
  <si>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</si>
  <si>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</si>
  <si>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</si>
  <si>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</si>
  <si>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</si>
  <si>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</si>
  <si>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</si>
  <si>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</si>
  <si>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</si>
  <si>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</si>
  <si>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</si>
  <si>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</si>
  <si>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</si>
  <si>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</si>
  <si>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</si>
  <si>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</si>
  <si>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</si>
  <si>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</si>
  <si>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</si>
  <si>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</si>
  <si>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</si>
  <si>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</si>
  <si>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</si>
  <si>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</si>
  <si>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</si>
  <si>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</si>
  <si>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</si>
  <si>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</si>
  <si>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</si>
  <si>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</si>
  <si>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</si>
  <si>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</si>
  <si>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</si>
  <si>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</si>
  <si>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</si>
  <si>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</si>
  <si>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</si>
  <si>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</si>
  <si>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</si>
  <si>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</si>
  <si>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</si>
  <si>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</si>
  <si>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</si>
  <si>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</si>
  <si>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</si>
  <si>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</si>
  <si>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</si>
  <si>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</si>
  <si>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</si>
  <si>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</si>
  <si>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</si>
  <si>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</si>
  <si>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</si>
  <si>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</si>
  <si>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</si>
  <si>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</si>
  <si>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</si>
  <si>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</si>
  <si>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</si>
  <si>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</si>
  <si>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</si>
  <si>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</si>
  <si>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</si>
  <si>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</si>
  <si>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</si>
  <si>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</si>
  <si>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</si>
  <si>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</si>
  <si>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</si>
  <si>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</si>
  <si>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</si>
  <si>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</si>
  <si>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</si>
  <si>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</si>
  <si>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</si>
  <si>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</si>
  <si>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</si>
  <si>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</si>
  <si>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</si>
  <si>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</si>
  <si>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</si>
  <si>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</si>
  <si>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</si>
  <si>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</si>
  <si>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</si>
  <si>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</si>
  <si>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</si>
  <si>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</si>
  <si>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</si>
  <si>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</si>
  <si>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</si>
  <si>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</si>
  <si>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</si>
  <si>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</si>
  <si>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</si>
  <si>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</si>
  <si>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</si>
  <si>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</si>
  <si>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</si>
  <si>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</si>
  <si>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</si>
  <si>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</si>
  <si>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</si>
  <si>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</si>
  <si>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</si>
  <si>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</si>
  <si>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</si>
  <si>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</si>
  <si>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</si>
  <si>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</si>
  <si>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</si>
  <si>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</si>
  <si>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</si>
  <si>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</si>
  <si>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</si>
  <si>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</si>
  <si>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</si>
  <si>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</si>
  <si>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</si>
  <si>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</si>
  <si>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</si>
  <si>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</si>
  <si>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</si>
  <si>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</si>
  <si>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</si>
  <si>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</si>
  <si>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</si>
  <si>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</si>
  <si>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</si>
  <si>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</si>
  <si>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</si>
  <si>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</si>
  <si>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</si>
  <si>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</si>
  <si>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</si>
  <si>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</si>
  <si>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</si>
  <si>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</si>
  <si>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</si>
  <si>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</si>
  <si>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</si>
  <si>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</si>
  <si>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</si>
  <si>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</si>
  <si>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</si>
  <si>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</si>
  <si>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</si>
  <si>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</si>
  <si>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</si>
  <si>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</si>
  <si>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</si>
  <si>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</si>
  <si>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</si>
  <si>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</si>
  <si>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</si>
  <si>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</si>
  <si>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</si>
  <si>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</si>
  <si>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</si>
  <si>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</si>
  <si>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</si>
  <si>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</si>
  <si>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</si>
  <si>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</si>
  <si>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</si>
  <si>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</si>
  <si>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</si>
  <si>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</si>
  <si>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</si>
  <si>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</si>
  <si>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</si>
  <si>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</si>
  <si>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</si>
  <si>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</si>
  <si>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</si>
  <si>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</si>
  <si>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</si>
  <si>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</si>
  <si>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</si>
  <si>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</si>
  <si>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</si>
  <si>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</si>
  <si>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</si>
  <si>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</si>
  <si>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</si>
  <si>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</si>
  <si>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</si>
  <si>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</si>
  <si>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</si>
  <si>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</si>
  <si>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</si>
  <si>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</si>
  <si>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</si>
  <si>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</si>
  <si>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</si>
  <si>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</si>
  <si>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</si>
  <si>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</si>
  <si>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</si>
  <si>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</si>
  <si>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</si>
  <si>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</si>
  <si>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</si>
  <si>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</si>
  <si>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</si>
  <si>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</si>
  <si>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</si>
  <si>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</si>
  <si>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</si>
  <si>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</si>
  <si>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</si>
  <si>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</si>
  <si>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</si>
  <si>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</si>
  <si>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</si>
  <si>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</si>
  <si>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</si>
  <si>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</si>
  <si>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</si>
  <si>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</si>
  <si>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</si>
  <si>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</si>
  <si>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</si>
  <si>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</si>
  <si>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</si>
  <si>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</si>
  <si>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</si>
  <si>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</si>
  <si>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</si>
  <si>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</si>
  <si>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</si>
  <si>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</si>
  <si>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</si>
  <si>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</si>
  <si>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</si>
  <si>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</si>
  <si>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</si>
  <si>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</si>
  <si>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</si>
  <si>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</si>
  <si>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</si>
  <si>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</si>
  <si>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</si>
  <si>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</si>
  <si>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</si>
  <si>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</si>
  <si>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</si>
  <si>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</si>
  <si>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</si>
  <si>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</si>
  <si>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</si>
  <si>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</si>
  <si>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</si>
  <si>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</si>
  <si>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</si>
  <si>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</si>
  <si>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</si>
  <si>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</si>
  <si>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</si>
  <si>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</si>
  <si>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</si>
  <si>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</si>
  <si>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</si>
  <si>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</si>
  <si>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</si>
  <si>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</si>
  <si>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</si>
  <si>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</si>
  <si>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</si>
  <si>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</si>
  <si>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</si>
  <si>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</si>
  <si>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</si>
  <si>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</si>
  <si>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</si>
  <si>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</si>
  <si>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</si>
  <si>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</si>
  <si>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</si>
  <si>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</si>
  <si>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</si>
  <si>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</si>
  <si>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</si>
  <si>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</si>
  <si>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</si>
  <si>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</si>
  <si>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</si>
  <si>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</si>
  <si>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</si>
  <si>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</si>
  <si>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</si>
  <si>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</si>
  <si>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</si>
  <si>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</si>
  <si>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</si>
  <si>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</si>
  <si>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</si>
  <si>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</si>
  <si>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</si>
  <si>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</si>
  <si>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</si>
  <si>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</si>
  <si>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</si>
  <si>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</si>
  <si>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</si>
  <si>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</si>
  <si>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</si>
  <si>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</si>
  <si>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</si>
  <si>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</si>
  <si>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</si>
  <si>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</si>
  <si>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</si>
  <si>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</si>
  <si>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</si>
  <si>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</si>
  <si>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</si>
  <si>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</si>
  <si>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</si>
  <si>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</si>
  <si>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</si>
  <si>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</si>
  <si>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</si>
  <si>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</si>
  <si>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</si>
  <si>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</si>
  <si>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</si>
  <si>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</si>
  <si>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</si>
  <si>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</si>
  <si>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</si>
  <si>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</si>
  <si>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</si>
  <si>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</si>
  <si>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</si>
  <si>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</si>
  <si>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</si>
  <si>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</si>
  <si>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</si>
  <si>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</si>
  <si>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</si>
  <si>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</si>
  <si>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</si>
  <si>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</si>
  <si>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</si>
  <si>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</si>
  <si>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</si>
  <si>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</si>
  <si>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</si>
  <si>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</si>
  <si>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</si>
  <si>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</si>
  <si>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</si>
  <si>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</si>
  <si>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</si>
  <si>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</si>
  <si>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</si>
  <si>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</si>
  <si>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</si>
  <si>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</si>
  <si>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</si>
  <si>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</si>
  <si>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</si>
  <si>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</si>
  <si>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</si>
  <si>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</si>
  <si>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</si>
  <si>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</si>
  <si>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</si>
  <si>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</si>
  <si>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</si>
  <si>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</si>
  <si>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</si>
  <si>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</si>
  <si>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</si>
  <si>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</si>
  <si>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</si>
  <si>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</si>
  <si>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</si>
  <si>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</si>
  <si>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</si>
  <si>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</si>
  <si>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</si>
  <si>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</si>
  <si>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</si>
  <si>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</si>
  <si>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</si>
  <si>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</si>
  <si>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</si>
  <si>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</si>
  <si>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</si>
  <si>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</si>
  <si>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</si>
  <si>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</si>
  <si>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</si>
  <si>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</si>
  <si>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</si>
  <si>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</si>
  <si>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</si>
  <si>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</si>
  <si>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</si>
  <si>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</si>
  <si>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</si>
  <si>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</si>
  <si>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</si>
  <si>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</si>
  <si>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</si>
  <si>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</si>
  <si>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</si>
  <si>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</si>
  <si>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</si>
  <si>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</si>
  <si>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</si>
  <si>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</si>
  <si>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</si>
  <si>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</si>
  <si>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</si>
  <si>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</si>
  <si>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</si>
  <si>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</si>
  <si>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</si>
  <si>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</si>
  <si>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</si>
  <si>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</si>
  <si>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</si>
  <si>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</si>
  <si>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</si>
  <si>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</si>
  <si>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</si>
  <si>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</si>
  <si>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</si>
  <si>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</si>
  <si>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</si>
  <si>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</si>
  <si>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</si>
  <si>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</si>
  <si>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</si>
  <si>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</si>
  <si>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</si>
  <si>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</si>
  <si>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</si>
  <si>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</si>
  <si>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</si>
  <si>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</si>
  <si>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</si>
  <si>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</si>
  <si>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</si>
  <si>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</si>
  <si>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</si>
  <si>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</si>
  <si>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</si>
  <si>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</si>
  <si>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</si>
  <si>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</si>
  <si>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</si>
  <si>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</si>
  <si>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</si>
  <si>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</si>
  <si>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</si>
  <si>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</si>
  <si>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</si>
  <si>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</si>
  <si>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</si>
  <si>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</si>
  <si>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</si>
  <si>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</si>
  <si>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</si>
  <si>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</si>
  <si>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</si>
  <si>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</si>
  <si>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</si>
  <si>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</si>
  <si>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</si>
  <si>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</si>
  <si>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</si>
  <si>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</si>
  <si>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</si>
  <si>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</si>
  <si>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</si>
  <si>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</si>
  <si>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</si>
  <si>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</si>
  <si>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</si>
  <si>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</si>
  <si>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</si>
  <si>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</si>
  <si>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</si>
  <si>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</si>
  <si>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</si>
  <si>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</si>
  <si>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</si>
  <si>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</si>
  <si>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</si>
  <si>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</si>
  <si>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</si>
  <si>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</si>
  <si>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</si>
  <si>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</si>
  <si>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</si>
  <si>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</si>
  <si>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</si>
  <si>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</si>
  <si>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</si>
  <si>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</si>
  <si>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</si>
  <si>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</si>
  <si>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</si>
  <si>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</si>
  <si>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</si>
  <si>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</si>
  <si>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</si>
  <si>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</si>
  <si>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</si>
  <si>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</si>
  <si>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</si>
  <si>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</si>
  <si>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</si>
  <si>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</si>
  <si>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</si>
  <si>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</si>
  <si>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</si>
  <si>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</si>
  <si>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</si>
  <si>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</si>
  <si>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</si>
  <si>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</si>
  <si>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</si>
  <si>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</si>
  <si>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</si>
  <si>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</si>
  <si>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</si>
  <si>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</si>
  <si>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</si>
  <si>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</si>
  <si>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</si>
  <si>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</si>
  <si>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</si>
  <si>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</si>
  <si>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</si>
  <si>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</si>
  <si>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</si>
  <si>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</si>
  <si>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</si>
  <si>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</si>
  <si>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</si>
  <si>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</si>
  <si>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</si>
  <si>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</si>
  <si>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</si>
  <si>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</si>
  <si>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</si>
  <si>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</si>
  <si>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</si>
  <si>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</si>
  <si>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</si>
  <si>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</si>
  <si>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</si>
  <si>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</si>
  <si>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</si>
  <si>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</si>
  <si>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</si>
  <si>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</si>
  <si>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</si>
  <si>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</si>
  <si>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</si>
  <si>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</si>
  <si>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</si>
  <si>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</si>
  <si>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</si>
  <si>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</si>
  <si>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</si>
  <si>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</si>
  <si>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</si>
  <si>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</si>
  <si>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</si>
  <si>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</si>
  <si>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</si>
  <si>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</si>
  <si>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</si>
  <si>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</si>
  <si>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</si>
  <si>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</si>
  <si>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</si>
  <si>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</si>
  <si>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</si>
  <si>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</si>
  <si>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</si>
  <si>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</si>
  <si>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</si>
  <si>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</si>
  <si>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</si>
  <si>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</si>
  <si>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</si>
  <si>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</si>
  <si>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</si>
  <si>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</si>
  <si>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</si>
  <si>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</si>
  <si>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</si>
  <si>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</si>
  <si>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</si>
  <si>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</si>
  <si>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</si>
  <si>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</si>
  <si>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</si>
  <si>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</si>
  <si>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</si>
  <si>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</si>
  <si>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</si>
  <si>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</si>
  <si>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</si>
  <si>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</si>
  <si>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</si>
  <si>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</si>
  <si>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</si>
  <si>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</si>
  <si>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</si>
  <si>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</si>
  <si>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</si>
  <si>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</si>
  <si>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</si>
  <si>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</si>
  <si>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</si>
  <si>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</si>
  <si>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</si>
  <si>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</si>
  <si>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</si>
  <si>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</si>
  <si>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</si>
  <si>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</si>
  <si>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</si>
  <si>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</si>
  <si>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</si>
  <si>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</si>
  <si>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</si>
  <si>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</si>
  <si>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</si>
  <si>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</si>
  <si>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</si>
  <si>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</si>
  <si>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</si>
  <si>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</si>
  <si>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</si>
  <si>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</si>
  <si>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</si>
  <si>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</si>
  <si>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</si>
  <si>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</si>
  <si>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</si>
  <si>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</si>
  <si>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</si>
  <si>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</si>
  <si>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</si>
  <si>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</si>
  <si>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</si>
  <si>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</si>
  <si>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</si>
  <si>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</si>
  <si>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</si>
  <si>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</si>
  <si>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</si>
  <si>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</si>
  <si>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</si>
  <si>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</si>
  <si>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</si>
  <si>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</si>
  <si>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</si>
  <si>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</si>
  <si>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</si>
  <si>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</si>
  <si>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</si>
  <si>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</si>
  <si>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</si>
  <si>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</si>
  <si>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</si>
  <si>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</si>
  <si>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</si>
  <si>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</si>
  <si>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</si>
  <si>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</si>
  <si>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</si>
  <si>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</si>
  <si>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</si>
  <si>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</si>
  <si>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</si>
  <si>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</si>
  <si>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</si>
  <si>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</si>
  <si>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</si>
  <si>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</si>
  <si>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</si>
  <si>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</si>
  <si>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</si>
  <si>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</si>
  <si>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</si>
  <si>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</si>
  <si>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</si>
  <si>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</si>
  <si>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</si>
  <si>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</si>
  <si>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</si>
  <si>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</si>
  <si>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</si>
  <si>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</si>
  <si>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</si>
  <si>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</si>
  <si>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</si>
  <si>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</si>
  <si>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</si>
  <si>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</si>
  <si>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</si>
  <si>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</si>
  <si>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</si>
  <si>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</si>
  <si>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</si>
  <si>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</si>
  <si>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</si>
  <si>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</si>
  <si>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</si>
  <si>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</si>
  <si>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</si>
  <si>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</si>
  <si>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</si>
  <si>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</si>
  <si>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</si>
  <si>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</si>
  <si>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</si>
  <si>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</si>
  <si>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</si>
  <si>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</si>
  <si>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</si>
  <si>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</si>
  <si>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</si>
  <si>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</si>
  <si>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</si>
  <si>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</si>
  <si>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</si>
  <si>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</si>
  <si>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</si>
  <si>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</si>
  <si>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</si>
  <si>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</si>
  <si>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</si>
  <si>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</si>
  <si>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</si>
  <si>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</si>
  <si>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</si>
  <si>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</si>
  <si>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</si>
  <si>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</si>
  <si>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</si>
  <si>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</si>
  <si>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</si>
  <si>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</si>
  <si>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</si>
  <si>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</si>
  <si>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</si>
  <si>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</si>
  <si>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</si>
  <si>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</si>
  <si>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</si>
  <si>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</si>
  <si>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</si>
  <si>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</si>
  <si>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</si>
  <si>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</si>
  <si>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</si>
  <si>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</si>
  <si>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</si>
  <si>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</si>
  <si>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</si>
  <si>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</si>
  <si>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</si>
  <si>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</si>
  <si>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</si>
  <si>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</si>
  <si>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</si>
  <si>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</si>
  <si>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</si>
  <si>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</si>
  <si>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</si>
  <si>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</si>
  <si>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</si>
  <si>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</si>
  <si>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</si>
  <si>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</si>
  <si>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</si>
  <si>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</si>
  <si>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</si>
  <si>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</si>
  <si>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</si>
  <si>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</si>
  <si>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</si>
  <si>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</si>
  <si>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</si>
  <si>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</si>
  <si>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</si>
  <si>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</si>
  <si>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</si>
  <si>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</si>
  <si>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</si>
  <si>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</si>
  <si>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</si>
  <si>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</si>
  <si>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</si>
  <si>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</si>
  <si>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</si>
  <si>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</si>
  <si>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</si>
  <si>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</si>
  <si>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</si>
  <si>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</si>
  <si>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</si>
  <si>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</si>
  <si>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</si>
  <si>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</si>
  <si>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</si>
  <si>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</si>
  <si>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</si>
  <si>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</si>
  <si>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</si>
  <si>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</si>
  <si>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</si>
  <si>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</si>
  <si>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</si>
  <si>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</si>
  <si>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</si>
  <si>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</si>
  <si>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</si>
  <si>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</si>
  <si>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</si>
  <si>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</si>
  <si>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</si>
  <si>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</si>
  <si>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</si>
  <si>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</si>
  <si>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</si>
  <si>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</si>
  <si>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</si>
  <si>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</si>
  <si>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</si>
  <si>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</si>
  <si>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</si>
  <si>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</si>
  <si>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</si>
  <si>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</si>
  <si>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</si>
  <si>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</si>
  <si>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</si>
  <si>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</si>
  <si>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</si>
  <si>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</si>
  <si>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</si>
  <si>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</si>
  <si>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</si>
  <si>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</si>
  <si>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</si>
  <si>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</si>
  <si>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</si>
  <si>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</si>
  <si>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</si>
  <si>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</si>
  <si>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</si>
  <si>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</si>
  <si>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</si>
  <si>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</si>
  <si>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</si>
  <si>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</si>
  <si>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</si>
  <si>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</si>
  <si>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</si>
  <si>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</si>
  <si>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</si>
  <si>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</si>
  <si>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</si>
  <si>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</si>
  <si>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</si>
  <si>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</si>
  <si>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</si>
  <si>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</si>
  <si>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</si>
  <si>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</si>
  <si>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</si>
  <si>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</si>
  <si>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</si>
  <si>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</si>
  <si>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</si>
  <si>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</si>
  <si>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</si>
  <si>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</si>
  <si>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</si>
  <si>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</si>
  <si>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</si>
  <si>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</si>
  <si>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</si>
  <si>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</si>
  <si>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</si>
  <si>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</si>
  <si>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</si>
  <si>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</si>
  <si>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</si>
  <si>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</si>
  <si>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</si>
  <si>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</si>
  <si>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</si>
  <si>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</si>
  <si>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</si>
  <si>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</si>
  <si>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</si>
  <si>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</si>
  <si>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</si>
  <si>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</si>
  <si>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</si>
  <si>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</si>
  <si>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</si>
  <si>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</si>
  <si>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</si>
  <si>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</si>
  <si>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</si>
  <si>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</si>
  <si>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</si>
  <si>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</si>
  <si>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</si>
  <si>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</si>
  <si>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</si>
  <si>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</si>
  <si>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</si>
  <si>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</si>
  <si>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</si>
  <si>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</si>
  <si>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</si>
  <si>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</si>
  <si>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</si>
  <si>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</si>
  <si>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</si>
  <si>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</si>
  <si>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</si>
  <si>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</si>
  <si>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</si>
  <si>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</si>
  <si>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</si>
  <si>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</si>
  <si>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</si>
  <si>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</si>
  <si>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</si>
  <si>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</si>
  <si>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</si>
  <si>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</si>
  <si>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</si>
  <si>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</si>
  <si>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</si>
  <si>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</si>
  <si>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</si>
  <si>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</si>
  <si>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</si>
  <si>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</si>
  <si>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</si>
  <si>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</si>
  <si>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</si>
  <si>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</si>
  <si>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</si>
  <si>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</si>
  <si>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</si>
  <si>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</si>
  <si>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دارایی بابت تصفیه 8000 تا ضغدر 3001 (سود این پول تا 26/2/1400 برای علی هست)</t>
  </si>
  <si>
    <t>ضغدر 3001 8000 تا 260</t>
  </si>
  <si>
    <t>25/2/1400</t>
  </si>
  <si>
    <t>وغدیر 3000 تا 1036</t>
  </si>
  <si>
    <t>26/2/1400</t>
  </si>
  <si>
    <t>وغدیر 6000 تا 1008</t>
  </si>
  <si>
    <t>بدهی علی</t>
  </si>
  <si>
    <t>باید 29000 تا رو نگه دارم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</si>
</sst>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topLeftCell="F113" zoomScaleNormal="100" workbookViewId="0">
      <selection activeCell="Q137" sqref="Q137"/>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5883</v>
      </c>
      <c r="D1" s="187" t="s">
        <v>5884</v>
      </c>
      <c r="E1" s="207" t="s">
        <v>5540</v>
      </c>
      <c r="F1" s="207" t="s">
        <v>5541</v>
      </c>
      <c r="G1" s="207" t="s">
        <v>5885</v>
      </c>
      <c r="H1" s="207" t="s">
        <v>5881</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5882</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3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3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34">
      <c r="A19" s="207"/>
      <c r="B19" s="207"/>
      <c r="C19" s="207"/>
      <c r="D19" s="207"/>
      <c r="E19" s="207"/>
      <c r="F19" s="207"/>
      <c r="G19" s="207"/>
      <c r="H19" s="207"/>
      <c r="I19" s="207"/>
      <c r="J19" s="207"/>
      <c r="K19" s="207"/>
      <c r="L19" s="207" t="s">
        <v>4438</v>
      </c>
      <c r="N19" t="s">
        <v>25</v>
      </c>
    </row>
    <row r="20" spans="1:34">
      <c r="A20" s="207"/>
      <c r="B20" s="207"/>
      <c r="C20" s="207"/>
      <c r="D20" s="207">
        <f>SUM(D2:D18)</f>
        <v>102.09054999874368</v>
      </c>
      <c r="E20" s="207"/>
      <c r="F20" s="207">
        <f>SUM(F2:F17)</f>
        <v>272.71046918401805</v>
      </c>
      <c r="G20" s="207"/>
      <c r="H20" s="207">
        <f>SUM(H2:H17)</f>
        <v>345.44053127445079</v>
      </c>
      <c r="I20" s="207"/>
      <c r="J20" s="207"/>
      <c r="K20" s="207"/>
      <c r="L20" s="207">
        <f>SUM(L2:L18)</f>
        <v>2764.7932840412032</v>
      </c>
      <c r="AF20" t="s">
        <v>25</v>
      </c>
    </row>
    <row r="21" spans="1:34">
      <c r="A21" s="207"/>
      <c r="B21" s="207"/>
      <c r="C21" s="207"/>
      <c r="D21" s="207" t="s">
        <v>6</v>
      </c>
      <c r="E21" s="207"/>
      <c r="F21" s="207" t="s">
        <v>6</v>
      </c>
      <c r="G21" s="207"/>
      <c r="H21" s="207" t="s">
        <v>6</v>
      </c>
      <c r="I21" s="207"/>
      <c r="J21" s="207"/>
      <c r="K21" s="207"/>
      <c r="L21" s="97"/>
    </row>
    <row r="22" spans="1:34">
      <c r="A22" s="207"/>
      <c r="B22" s="207"/>
      <c r="C22" s="207"/>
      <c r="D22" s="207"/>
      <c r="E22" s="207"/>
      <c r="F22" s="207"/>
      <c r="G22" s="207"/>
      <c r="H22" s="207"/>
      <c r="I22" s="207"/>
      <c r="K22" s="207" t="s">
        <v>5028</v>
      </c>
      <c r="L22" s="207" t="s">
        <v>5029</v>
      </c>
    </row>
    <row r="23" spans="1:34">
      <c r="A23" s="207"/>
      <c r="B23" s="207"/>
      <c r="C23" s="207"/>
      <c r="D23" s="207"/>
      <c r="E23" s="207"/>
      <c r="F23" s="207"/>
      <c r="G23" s="207"/>
      <c r="H23" s="207"/>
      <c r="I23" s="207"/>
      <c r="K23" s="207">
        <v>1166</v>
      </c>
      <c r="L23" s="207">
        <f>K23/L20</f>
        <v>0.42173134849911742</v>
      </c>
    </row>
    <row r="26" spans="1:34">
      <c r="O26" t="s">
        <v>4914</v>
      </c>
    </row>
    <row r="27" spans="1:34">
      <c r="C27" s="94" t="s">
        <v>5092</v>
      </c>
      <c r="D27" s="94" t="s">
        <v>5098</v>
      </c>
      <c r="E27" t="s">
        <v>5099</v>
      </c>
      <c r="F27" t="s">
        <v>5101</v>
      </c>
      <c r="G27" t="s">
        <v>5102</v>
      </c>
      <c r="O27" s="97" t="s">
        <v>180</v>
      </c>
      <c r="P27" s="97" t="s">
        <v>267</v>
      </c>
      <c r="Q27" s="97" t="s">
        <v>4912</v>
      </c>
      <c r="R27" s="97"/>
      <c r="S27" s="97"/>
      <c r="T27" s="97"/>
      <c r="U27" s="94"/>
      <c r="V27" s="94"/>
      <c r="W27" s="207" t="s">
        <v>6524</v>
      </c>
      <c r="X27" s="207" t="s">
        <v>25</v>
      </c>
      <c r="Y27" s="207"/>
      <c r="Z27" s="207"/>
      <c r="AA27" s="97"/>
      <c r="AB27" s="207" t="s">
        <v>6525</v>
      </c>
      <c r="AC27" s="207"/>
      <c r="AD27" s="207"/>
      <c r="AE27" s="207"/>
      <c r="AF27" s="207"/>
    </row>
    <row r="28" spans="1:3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706</v>
      </c>
      <c r="S28" s="97">
        <f>P28*R28</f>
        <v>5295000000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B29" s="94"/>
      <c r="C29" s="94" t="s">
        <v>5103</v>
      </c>
      <c r="D29" s="94">
        <v>10</v>
      </c>
      <c r="E29" s="94">
        <v>0.5</v>
      </c>
      <c r="F29" s="94">
        <f t="shared" si="9"/>
        <v>5000000</v>
      </c>
      <c r="G29" s="94">
        <f t="shared" ref="G29:G34" si="10">F29*11400/1000000000</f>
        <v>57</v>
      </c>
      <c r="O29" s="97" t="s">
        <v>4911</v>
      </c>
      <c r="P29" s="18">
        <v>-500000</v>
      </c>
      <c r="Q29" s="97">
        <v>7</v>
      </c>
      <c r="R29" s="97">
        <f t="shared" ref="R29:R92" si="11">Q29+R30</f>
        <v>702</v>
      </c>
      <c r="S29" s="97">
        <f t="shared" ref="S29:S92" si="12">P29*R29</f>
        <v>-351000000</v>
      </c>
      <c r="T29" s="97"/>
      <c r="U29" s="94"/>
      <c r="V29" s="94"/>
      <c r="W29" s="207" t="s">
        <v>6495</v>
      </c>
      <c r="X29" s="18">
        <v>55000000</v>
      </c>
      <c r="Y29" s="207">
        <v>1</v>
      </c>
      <c r="Z29" s="207">
        <f>Y29+Z30</f>
        <v>12</v>
      </c>
      <c r="AA29" s="18">
        <f>X29*Z29</f>
        <v>660000000</v>
      </c>
      <c r="AB29" s="207" t="s">
        <v>6523</v>
      </c>
      <c r="AC29" s="18">
        <v>197440000</v>
      </c>
      <c r="AD29" s="207">
        <v>11</v>
      </c>
      <c r="AE29" s="18">
        <f>AC29*AD29</f>
        <v>2171840000</v>
      </c>
      <c r="AF29" s="207"/>
    </row>
    <row r="30" spans="1:34">
      <c r="B30" s="94"/>
      <c r="C30" s="94" t="s">
        <v>5104</v>
      </c>
      <c r="D30" s="94">
        <v>492</v>
      </c>
      <c r="E30" s="94">
        <v>0.65</v>
      </c>
      <c r="F30" s="94">
        <f t="shared" si="9"/>
        <v>319800000</v>
      </c>
      <c r="G30" s="94">
        <f t="shared" si="10"/>
        <v>3645.72</v>
      </c>
      <c r="J30" t="s">
        <v>25</v>
      </c>
      <c r="L30" t="s">
        <v>25</v>
      </c>
      <c r="O30" s="97" t="s">
        <v>4919</v>
      </c>
      <c r="P30" s="18">
        <v>-7000000</v>
      </c>
      <c r="Q30" s="97">
        <v>1</v>
      </c>
      <c r="R30" s="97">
        <f t="shared" si="11"/>
        <v>695</v>
      </c>
      <c r="S30" s="97">
        <f t="shared" si="12"/>
        <v>-4865000000</v>
      </c>
      <c r="T30" s="97"/>
      <c r="U30" s="94"/>
      <c r="V30" s="94"/>
      <c r="W30" s="207" t="s">
        <v>6526</v>
      </c>
      <c r="X30" s="18">
        <v>50000000</v>
      </c>
      <c r="Y30" s="207">
        <v>1</v>
      </c>
      <c r="Z30" s="207">
        <f t="shared" ref="Z30:Z43" si="13">Y30+Z31</f>
        <v>11</v>
      </c>
      <c r="AA30" s="18">
        <f t="shared" ref="AA30:AA43" si="14">X30*Z30</f>
        <v>550000000</v>
      </c>
      <c r="AB30" s="207"/>
      <c r="AC30" s="18"/>
      <c r="AD30" s="207"/>
      <c r="AE30" s="207"/>
      <c r="AF30" s="207"/>
    </row>
    <row r="31" spans="1:34">
      <c r="A31" t="s">
        <v>5816</v>
      </c>
      <c r="B31" s="94"/>
      <c r="C31" s="94" t="s">
        <v>5105</v>
      </c>
      <c r="D31" s="94">
        <v>235</v>
      </c>
      <c r="E31" s="94">
        <v>1</v>
      </c>
      <c r="F31" s="94">
        <f t="shared" si="9"/>
        <v>235000000</v>
      </c>
      <c r="G31" s="94">
        <f t="shared" si="10"/>
        <v>2679</v>
      </c>
      <c r="O31" s="97" t="s">
        <v>4922</v>
      </c>
      <c r="P31" s="18">
        <v>2000000</v>
      </c>
      <c r="Q31" s="97">
        <v>6</v>
      </c>
      <c r="R31" s="97">
        <f t="shared" si="11"/>
        <v>694</v>
      </c>
      <c r="S31" s="97">
        <f t="shared" si="12"/>
        <v>1388000000</v>
      </c>
      <c r="T31" s="97"/>
      <c r="U31" s="94"/>
      <c r="V31" s="94"/>
      <c r="W31" s="207" t="s">
        <v>6527</v>
      </c>
      <c r="X31" s="18">
        <v>50000000</v>
      </c>
      <c r="Y31" s="207">
        <v>2</v>
      </c>
      <c r="Z31" s="207">
        <f t="shared" si="13"/>
        <v>10</v>
      </c>
      <c r="AA31" s="18">
        <f t="shared" si="14"/>
        <v>500000000</v>
      </c>
      <c r="AB31" s="207"/>
      <c r="AC31" s="18"/>
      <c r="AD31" s="207"/>
      <c r="AE31" s="207"/>
      <c r="AF31" s="207"/>
      <c r="AH31" t="s">
        <v>25</v>
      </c>
    </row>
    <row r="32" spans="1:34">
      <c r="A32" s="94" t="s">
        <v>5817</v>
      </c>
      <c r="B32" s="94">
        <v>0.3</v>
      </c>
      <c r="C32" s="94" t="s">
        <v>5106</v>
      </c>
      <c r="D32" s="94">
        <v>500</v>
      </c>
      <c r="E32" s="94">
        <v>0.6</v>
      </c>
      <c r="F32" s="94">
        <f t="shared" si="9"/>
        <v>300000000</v>
      </c>
      <c r="G32" s="94">
        <f t="shared" si="10"/>
        <v>3420</v>
      </c>
      <c r="O32" s="97" t="s">
        <v>4936</v>
      </c>
      <c r="P32" s="18">
        <v>1000000</v>
      </c>
      <c r="Q32" s="97">
        <v>3</v>
      </c>
      <c r="R32" s="97">
        <f t="shared" si="11"/>
        <v>688</v>
      </c>
      <c r="S32" s="97">
        <f t="shared" si="12"/>
        <v>688000000</v>
      </c>
      <c r="T32" s="97"/>
      <c r="U32" s="94"/>
      <c r="V32" s="94"/>
      <c r="W32" s="207" t="s">
        <v>6503</v>
      </c>
      <c r="X32" s="18">
        <v>680000</v>
      </c>
      <c r="Y32" s="207">
        <v>1</v>
      </c>
      <c r="Z32" s="207">
        <f t="shared" si="13"/>
        <v>8</v>
      </c>
      <c r="AA32" s="18">
        <f t="shared" si="14"/>
        <v>5440000</v>
      </c>
      <c r="AB32" s="207"/>
      <c r="AC32" s="18"/>
      <c r="AD32" s="207"/>
      <c r="AE32" s="207"/>
      <c r="AF32" s="207"/>
    </row>
    <row r="33" spans="1:33">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685</v>
      </c>
      <c r="S33" s="97">
        <f t="shared" si="12"/>
        <v>137000000</v>
      </c>
      <c r="T33" s="97"/>
      <c r="U33" s="94"/>
      <c r="V33" s="94"/>
      <c r="W33" s="207" t="s">
        <v>6528</v>
      </c>
      <c r="X33" s="18">
        <v>41483</v>
      </c>
      <c r="Y33" s="207">
        <v>1</v>
      </c>
      <c r="Z33" s="207">
        <f t="shared" si="13"/>
        <v>7</v>
      </c>
      <c r="AA33" s="18">
        <f t="shared" si="14"/>
        <v>290381</v>
      </c>
      <c r="AB33" s="207"/>
      <c r="AC33" s="18"/>
      <c r="AD33" s="207"/>
      <c r="AE33" s="207"/>
      <c r="AF33" s="207"/>
      <c r="AG33" t="s">
        <v>25</v>
      </c>
    </row>
    <row r="34" spans="1:33">
      <c r="A34" s="120" t="s">
        <v>4835</v>
      </c>
      <c r="B34" s="94">
        <v>18000000000</v>
      </c>
      <c r="E34" s="94"/>
      <c r="F34" s="94">
        <f t="shared" si="9"/>
        <v>0</v>
      </c>
      <c r="G34" s="94">
        <f t="shared" si="10"/>
        <v>0</v>
      </c>
      <c r="O34" s="97" t="s">
        <v>4946</v>
      </c>
      <c r="P34" s="18">
        <v>-3200000</v>
      </c>
      <c r="Q34" s="97">
        <v>6</v>
      </c>
      <c r="R34" s="97">
        <f t="shared" si="11"/>
        <v>682</v>
      </c>
      <c r="S34" s="97">
        <f t="shared" si="12"/>
        <v>-2182400000</v>
      </c>
      <c r="T34" s="97"/>
      <c r="U34" s="94"/>
      <c r="V34" s="94"/>
      <c r="W34" s="207" t="s">
        <v>6529</v>
      </c>
      <c r="X34" s="18">
        <v>40000000</v>
      </c>
      <c r="Y34" s="207">
        <v>6</v>
      </c>
      <c r="Z34" s="207">
        <f t="shared" si="13"/>
        <v>6</v>
      </c>
      <c r="AA34" s="18">
        <f t="shared" si="14"/>
        <v>240000000</v>
      </c>
      <c r="AB34" s="207"/>
      <c r="AC34" s="18"/>
      <c r="AD34" s="207"/>
      <c r="AE34" s="207"/>
      <c r="AF34" s="207"/>
    </row>
    <row r="35" spans="1:33">
      <c r="A35" s="120" t="s">
        <v>5818</v>
      </c>
      <c r="B35" s="18">
        <f>B32*B33/B34</f>
        <v>600</v>
      </c>
      <c r="E35" s="94"/>
      <c r="F35" s="94"/>
      <c r="G35" s="94"/>
      <c r="O35" s="97" t="s">
        <v>4958</v>
      </c>
      <c r="P35" s="18">
        <v>6000000</v>
      </c>
      <c r="Q35" s="97">
        <v>1</v>
      </c>
      <c r="R35" s="97">
        <f t="shared" si="11"/>
        <v>676</v>
      </c>
      <c r="S35" s="97">
        <f t="shared" si="12"/>
        <v>4056000000</v>
      </c>
      <c r="T35" s="97"/>
      <c r="U35" s="94"/>
      <c r="V35" s="94"/>
      <c r="W35" s="207"/>
      <c r="X35" s="18"/>
      <c r="Y35" s="207"/>
      <c r="Z35" s="207">
        <f t="shared" si="13"/>
        <v>0</v>
      </c>
      <c r="AA35" s="18">
        <f t="shared" si="14"/>
        <v>0</v>
      </c>
      <c r="AB35" s="207"/>
      <c r="AC35" s="18"/>
      <c r="AD35" s="207"/>
      <c r="AE35" s="207"/>
      <c r="AF35" s="207"/>
    </row>
    <row r="36" spans="1:33">
      <c r="A36" s="120" t="s">
        <v>5819</v>
      </c>
      <c r="B36" s="120">
        <v>872000000</v>
      </c>
      <c r="E36" s="94"/>
      <c r="F36" s="94"/>
      <c r="G36" s="94"/>
      <c r="O36" s="97" t="s">
        <v>4959</v>
      </c>
      <c r="P36" s="18">
        <v>2000000</v>
      </c>
      <c r="Q36" s="97">
        <v>3</v>
      </c>
      <c r="R36" s="97">
        <f t="shared" si="11"/>
        <v>675</v>
      </c>
      <c r="S36" s="97">
        <f t="shared" si="12"/>
        <v>1350000000</v>
      </c>
      <c r="T36" s="97"/>
      <c r="U36" s="94"/>
      <c r="V36" s="94"/>
      <c r="W36" s="207"/>
      <c r="X36" s="18"/>
      <c r="Y36" s="207"/>
      <c r="Z36" s="207">
        <f t="shared" si="13"/>
        <v>0</v>
      </c>
      <c r="AA36" s="18">
        <f t="shared" si="14"/>
        <v>0</v>
      </c>
      <c r="AB36" s="207"/>
      <c r="AC36" s="18"/>
      <c r="AD36" s="207"/>
      <c r="AE36" s="207"/>
      <c r="AF36" s="207"/>
    </row>
    <row r="37" spans="1:33">
      <c r="A37" s="120" t="s">
        <v>5820</v>
      </c>
      <c r="B37" s="18">
        <v>750</v>
      </c>
      <c r="E37" s="94"/>
      <c r="F37" s="94"/>
      <c r="O37" s="97" t="s">
        <v>4966</v>
      </c>
      <c r="P37" s="18">
        <v>-50000</v>
      </c>
      <c r="Q37" s="97">
        <v>7</v>
      </c>
      <c r="R37" s="97">
        <f t="shared" si="11"/>
        <v>672</v>
      </c>
      <c r="S37" s="97">
        <f t="shared" si="12"/>
        <v>-33600000</v>
      </c>
      <c r="T37" s="97"/>
      <c r="U37" s="94"/>
      <c r="V37" s="94"/>
      <c r="W37" s="207"/>
      <c r="X37" s="18"/>
      <c r="Y37" s="207"/>
      <c r="Z37" s="207">
        <f t="shared" si="13"/>
        <v>0</v>
      </c>
      <c r="AA37" s="18">
        <f t="shared" si="14"/>
        <v>0</v>
      </c>
      <c r="AB37" s="207"/>
      <c r="AC37" s="18"/>
      <c r="AD37" s="207"/>
      <c r="AE37" s="207"/>
      <c r="AF37" s="207"/>
    </row>
    <row r="38" spans="1:33">
      <c r="A38" s="120" t="s">
        <v>5821</v>
      </c>
      <c r="B38" s="94">
        <f>B36*B37/B34</f>
        <v>36.333333333333336</v>
      </c>
      <c r="C38" s="94" t="s">
        <v>5093</v>
      </c>
      <c r="D38" s="94" t="s">
        <v>5094</v>
      </c>
      <c r="E38" s="94"/>
      <c r="F38" s="94"/>
      <c r="O38" s="97" t="s">
        <v>4972</v>
      </c>
      <c r="P38" s="18">
        <v>-2480000</v>
      </c>
      <c r="Q38" s="97">
        <v>5</v>
      </c>
      <c r="R38" s="97">
        <f t="shared" si="11"/>
        <v>665</v>
      </c>
      <c r="S38" s="97">
        <f t="shared" si="12"/>
        <v>-1649200000</v>
      </c>
      <c r="T38" s="97"/>
      <c r="U38" s="94"/>
      <c r="V38" s="94"/>
      <c r="W38" s="207"/>
      <c r="X38" s="18"/>
      <c r="Y38" s="207"/>
      <c r="Z38" s="207">
        <f t="shared" si="13"/>
        <v>0</v>
      </c>
      <c r="AA38" s="18">
        <f t="shared" si="14"/>
        <v>0</v>
      </c>
      <c r="AB38" s="207"/>
      <c r="AC38" s="18"/>
      <c r="AD38" s="207"/>
      <c r="AE38" s="207"/>
      <c r="AF38" s="207"/>
    </row>
    <row r="39" spans="1:33">
      <c r="A39" s="120"/>
      <c r="B39" s="120"/>
      <c r="C39" s="94" t="s">
        <v>5100</v>
      </c>
      <c r="D39" s="94">
        <v>1000000</v>
      </c>
      <c r="E39" s="94"/>
      <c r="F39" s="94"/>
      <c r="O39" s="97" t="s">
        <v>4980</v>
      </c>
      <c r="P39" s="18">
        <v>300000</v>
      </c>
      <c r="Q39" s="97">
        <v>1</v>
      </c>
      <c r="R39" s="97">
        <f t="shared" si="11"/>
        <v>660</v>
      </c>
      <c r="S39" s="97">
        <f t="shared" si="12"/>
        <v>198000000</v>
      </c>
      <c r="T39" s="97"/>
      <c r="U39" s="94"/>
      <c r="V39" s="94"/>
      <c r="W39" s="207"/>
      <c r="X39" s="18" t="s">
        <v>25</v>
      </c>
      <c r="Y39" s="207"/>
      <c r="Z39" s="207">
        <f t="shared" si="13"/>
        <v>0</v>
      </c>
      <c r="AA39" s="18" t="e">
        <f t="shared" si="14"/>
        <v>#VALUE!</v>
      </c>
      <c r="AB39" s="207"/>
      <c r="AC39" s="18"/>
      <c r="AD39" s="207"/>
      <c r="AE39" s="207"/>
      <c r="AF39" s="207"/>
    </row>
    <row r="40" spans="1:33">
      <c r="A40" s="120"/>
      <c r="B40" s="18"/>
      <c r="C40" s="94" t="s">
        <v>5095</v>
      </c>
      <c r="D40" s="94" t="s">
        <v>5096</v>
      </c>
      <c r="E40" s="94"/>
      <c r="F40" s="94"/>
      <c r="O40" s="97" t="s">
        <v>4213</v>
      </c>
      <c r="P40" s="18">
        <v>300000</v>
      </c>
      <c r="Q40" s="97">
        <v>6</v>
      </c>
      <c r="R40" s="97">
        <f t="shared" si="11"/>
        <v>659</v>
      </c>
      <c r="S40" s="97">
        <f t="shared" si="12"/>
        <v>197700000</v>
      </c>
      <c r="T40" s="97"/>
      <c r="U40" s="94"/>
      <c r="V40" s="94"/>
      <c r="W40" s="207"/>
      <c r="X40" s="18"/>
      <c r="Y40" s="207"/>
      <c r="Z40" s="207">
        <f t="shared" si="13"/>
        <v>0</v>
      </c>
      <c r="AA40" s="18">
        <f t="shared" si="14"/>
        <v>0</v>
      </c>
      <c r="AB40" s="207"/>
      <c r="AC40" s="18"/>
      <c r="AD40" s="207"/>
      <c r="AE40" s="207"/>
      <c r="AF40" s="207"/>
    </row>
    <row r="41" spans="1:33">
      <c r="A41" s="120"/>
      <c r="B41" s="94"/>
      <c r="E41" s="94"/>
      <c r="F41" s="94"/>
      <c r="O41" s="97" t="s">
        <v>4989</v>
      </c>
      <c r="P41" s="18">
        <v>500000</v>
      </c>
      <c r="Q41" s="97">
        <v>2</v>
      </c>
      <c r="R41" s="97">
        <f t="shared" si="11"/>
        <v>653</v>
      </c>
      <c r="S41" s="97">
        <f t="shared" si="12"/>
        <v>326500000</v>
      </c>
      <c r="T41" s="97"/>
      <c r="U41" s="94"/>
      <c r="V41" s="94"/>
      <c r="W41" s="207"/>
      <c r="X41" s="18"/>
      <c r="Y41" s="207"/>
      <c r="Z41" s="207">
        <f t="shared" si="13"/>
        <v>0</v>
      </c>
      <c r="AA41" s="18">
        <f t="shared" si="14"/>
        <v>0</v>
      </c>
      <c r="AB41" s="207"/>
      <c r="AC41" s="18"/>
      <c r="AD41" s="207"/>
      <c r="AE41" s="207"/>
      <c r="AF41" s="207"/>
    </row>
    <row r="42" spans="1:33">
      <c r="A42" s="94"/>
      <c r="B42" s="94"/>
      <c r="E42" s="94"/>
      <c r="F42" s="94"/>
      <c r="O42" s="97" t="s">
        <v>4995</v>
      </c>
      <c r="P42" s="18">
        <v>100000</v>
      </c>
      <c r="Q42" s="97">
        <v>1</v>
      </c>
      <c r="R42" s="97">
        <f t="shared" si="11"/>
        <v>651</v>
      </c>
      <c r="S42" s="97">
        <f t="shared" si="12"/>
        <v>65100000</v>
      </c>
      <c r="T42" s="97"/>
      <c r="U42" s="94"/>
      <c r="V42" s="94"/>
      <c r="W42" s="207"/>
      <c r="X42" s="18" t="s">
        <v>25</v>
      </c>
      <c r="Y42" s="207"/>
      <c r="Z42" s="207">
        <f t="shared" si="13"/>
        <v>0</v>
      </c>
      <c r="AA42" s="18" t="e">
        <f t="shared" si="14"/>
        <v>#VALUE!</v>
      </c>
      <c r="AB42" s="207"/>
      <c r="AC42" s="18"/>
      <c r="AD42" s="207"/>
      <c r="AE42" s="207"/>
      <c r="AF42" s="207"/>
    </row>
    <row r="43" spans="1:33">
      <c r="A43" s="94"/>
      <c r="B43" s="94"/>
      <c r="E43" s="94"/>
      <c r="F43" s="94"/>
      <c r="O43" s="97" t="s">
        <v>4996</v>
      </c>
      <c r="P43" s="18">
        <v>-6423626</v>
      </c>
      <c r="Q43" s="97">
        <v>1</v>
      </c>
      <c r="R43" s="97">
        <f t="shared" si="11"/>
        <v>650</v>
      </c>
      <c r="S43" s="97">
        <f t="shared" si="12"/>
        <v>-4175356900</v>
      </c>
      <c r="T43" s="97"/>
      <c r="U43" s="94"/>
      <c r="V43" s="94"/>
      <c r="W43" s="207"/>
      <c r="X43" s="207"/>
      <c r="Y43" s="207"/>
      <c r="Z43" s="207">
        <f t="shared" si="13"/>
        <v>0</v>
      </c>
      <c r="AA43" s="18">
        <f t="shared" si="14"/>
        <v>0</v>
      </c>
      <c r="AB43" s="207"/>
      <c r="AC43" s="207"/>
      <c r="AD43" s="207"/>
      <c r="AE43" s="207"/>
      <c r="AF43" s="207"/>
    </row>
    <row r="44" spans="1:33">
      <c r="A44" s="94"/>
      <c r="B44" s="94"/>
      <c r="E44" s="94"/>
      <c r="F44" s="94"/>
      <c r="O44" s="97" t="s">
        <v>4999</v>
      </c>
      <c r="P44" s="18">
        <v>-4592486</v>
      </c>
      <c r="Q44" s="97">
        <v>0</v>
      </c>
      <c r="R44" s="97">
        <f t="shared" si="11"/>
        <v>649</v>
      </c>
      <c r="S44" s="97">
        <f t="shared" si="12"/>
        <v>-2980523414</v>
      </c>
      <c r="T44" s="97"/>
      <c r="U44" s="94"/>
      <c r="V44" s="94"/>
      <c r="W44" s="207"/>
      <c r="X44" s="207"/>
      <c r="Y44" s="207"/>
      <c r="Z44" s="207"/>
      <c r="AA44" s="18"/>
      <c r="AB44" s="207"/>
      <c r="AC44" s="207"/>
      <c r="AD44" s="207"/>
      <c r="AE44" s="207"/>
      <c r="AF44" s="207"/>
    </row>
    <row r="45" spans="1:33">
      <c r="A45" s="94"/>
      <c r="B45" s="94" t="s">
        <v>4835</v>
      </c>
      <c r="C45" s="94" t="s">
        <v>4248</v>
      </c>
      <c r="D45" s="94" t="s">
        <v>4422</v>
      </c>
      <c r="E45" s="94" t="s">
        <v>5098</v>
      </c>
      <c r="F45" s="94" t="s">
        <v>5406</v>
      </c>
      <c r="O45" s="97" t="s">
        <v>4999</v>
      </c>
      <c r="P45" s="18">
        <v>4346112</v>
      </c>
      <c r="Q45" s="97">
        <v>11</v>
      </c>
      <c r="R45" s="97">
        <f t="shared" si="11"/>
        <v>649</v>
      </c>
      <c r="S45" s="97">
        <f t="shared" si="12"/>
        <v>2820626688</v>
      </c>
      <c r="T45" s="97"/>
      <c r="U45" s="94"/>
      <c r="V45" s="94"/>
      <c r="W45" s="207"/>
      <c r="X45" s="207"/>
      <c r="Y45" s="207"/>
      <c r="Z45" s="207"/>
      <c r="AA45" s="18"/>
      <c r="AB45" s="207"/>
      <c r="AC45" s="207"/>
      <c r="AD45" s="207"/>
      <c r="AE45" s="207"/>
      <c r="AF45" s="207"/>
    </row>
    <row r="46" spans="1:33">
      <c r="A46" s="94" t="s">
        <v>4845</v>
      </c>
      <c r="B46" s="94">
        <v>6</v>
      </c>
      <c r="C46" s="94">
        <v>4125</v>
      </c>
      <c r="D46" s="94">
        <f>B46*C46</f>
        <v>24750</v>
      </c>
      <c r="E46" s="94">
        <v>3</v>
      </c>
      <c r="F46" s="94">
        <f>D46/E46</f>
        <v>8250</v>
      </c>
      <c r="O46" s="97" t="s">
        <v>5012</v>
      </c>
      <c r="P46" s="18">
        <v>1500000</v>
      </c>
      <c r="Q46" s="97">
        <v>16</v>
      </c>
      <c r="R46" s="97">
        <f t="shared" si="11"/>
        <v>638</v>
      </c>
      <c r="S46" s="97">
        <f t="shared" si="12"/>
        <v>957000000</v>
      </c>
      <c r="T46" s="97"/>
      <c r="U46" s="94"/>
      <c r="V46" s="94"/>
      <c r="W46" s="207"/>
      <c r="X46" s="207"/>
      <c r="Y46" s="207"/>
      <c r="Z46" s="207"/>
      <c r="AA46" s="18">
        <f>SUM(AA29:AA35)</f>
        <v>1955730381</v>
      </c>
      <c r="AB46" s="207"/>
      <c r="AC46" s="207"/>
      <c r="AD46" s="207"/>
      <c r="AE46" s="207"/>
      <c r="AF46" s="207"/>
    </row>
    <row r="47" spans="1:33">
      <c r="A47" s="94" t="s">
        <v>4508</v>
      </c>
      <c r="B47" s="94">
        <v>9</v>
      </c>
      <c r="C47" s="94">
        <v>439</v>
      </c>
      <c r="D47" s="94">
        <f>B47*C47</f>
        <v>3951</v>
      </c>
      <c r="E47" s="94">
        <v>1.073</v>
      </c>
      <c r="F47" s="94">
        <f>D47/E47</f>
        <v>3682.1994408201308</v>
      </c>
      <c r="O47" s="97" t="s">
        <v>5002</v>
      </c>
      <c r="P47" s="18">
        <v>6000000</v>
      </c>
      <c r="Q47" s="97">
        <v>8</v>
      </c>
      <c r="R47" s="97">
        <f t="shared" si="11"/>
        <v>622</v>
      </c>
      <c r="S47" s="97">
        <f t="shared" si="12"/>
        <v>3732000000</v>
      </c>
      <c r="T47" s="97"/>
      <c r="U47" s="94"/>
      <c r="V47" s="94"/>
    </row>
    <row r="48" spans="1:33">
      <c r="A48" s="94"/>
      <c r="B48" s="94"/>
      <c r="E48" s="94"/>
      <c r="F48" s="94"/>
      <c r="O48" s="97" t="s">
        <v>5052</v>
      </c>
      <c r="P48" s="18">
        <v>-50000</v>
      </c>
      <c r="Q48" s="97">
        <v>3</v>
      </c>
      <c r="R48" s="97">
        <f t="shared" si="11"/>
        <v>614</v>
      </c>
      <c r="S48" s="97">
        <f t="shared" si="12"/>
        <v>-30700000</v>
      </c>
      <c r="T48" s="97"/>
      <c r="U48" s="94"/>
      <c r="V48" s="94"/>
    </row>
    <row r="49" spans="1:22">
      <c r="A49" s="94"/>
      <c r="B49" s="94"/>
      <c r="E49" s="94"/>
      <c r="F49" s="94"/>
      <c r="N49" t="s">
        <v>25</v>
      </c>
      <c r="O49" s="97" t="s">
        <v>5055</v>
      </c>
      <c r="P49" s="18">
        <v>-20000</v>
      </c>
      <c r="Q49" s="97">
        <v>7</v>
      </c>
      <c r="R49" s="97">
        <f t="shared" si="11"/>
        <v>611</v>
      </c>
      <c r="S49" s="97">
        <f t="shared" si="12"/>
        <v>-12220000</v>
      </c>
      <c r="T49" s="97"/>
      <c r="U49" s="94"/>
      <c r="V49" s="94"/>
    </row>
    <row r="50" spans="1:22">
      <c r="A50" s="94"/>
      <c r="B50" s="94"/>
      <c r="E50" s="94"/>
      <c r="F50" s="94"/>
      <c r="O50" s="97" t="s">
        <v>5014</v>
      </c>
      <c r="P50" s="18">
        <v>6000000</v>
      </c>
      <c r="Q50" s="97">
        <v>1</v>
      </c>
      <c r="R50" s="97">
        <f t="shared" si="11"/>
        <v>604</v>
      </c>
      <c r="S50" s="97">
        <f t="shared" si="12"/>
        <v>3624000000</v>
      </c>
      <c r="T50" s="97"/>
      <c r="U50" s="94"/>
      <c r="V50" s="94"/>
    </row>
    <row r="51" spans="1:22">
      <c r="A51" s="94"/>
      <c r="B51" s="94"/>
      <c r="E51" s="94"/>
      <c r="F51" s="94"/>
      <c r="O51" s="97" t="s">
        <v>5071</v>
      </c>
      <c r="P51" s="18">
        <v>-2302282</v>
      </c>
      <c r="Q51" s="97">
        <v>6</v>
      </c>
      <c r="R51" s="97">
        <f t="shared" si="11"/>
        <v>603</v>
      </c>
      <c r="S51" s="97">
        <f t="shared" si="12"/>
        <v>-1388276046</v>
      </c>
      <c r="T51" s="97"/>
      <c r="U51" s="94"/>
      <c r="V51" s="94"/>
    </row>
    <row r="52" spans="1:22">
      <c r="A52" s="94" t="s">
        <v>5843</v>
      </c>
      <c r="B52" s="94"/>
      <c r="E52" s="94"/>
      <c r="F52" s="94"/>
      <c r="K52" t="s">
        <v>25</v>
      </c>
      <c r="O52" s="97" t="s">
        <v>5076</v>
      </c>
      <c r="P52" s="18">
        <v>100000</v>
      </c>
      <c r="Q52" s="97">
        <v>1</v>
      </c>
      <c r="R52" s="97">
        <f t="shared" si="11"/>
        <v>597</v>
      </c>
      <c r="S52" s="97">
        <f t="shared" si="12"/>
        <v>59700000</v>
      </c>
      <c r="T52" s="97"/>
      <c r="U52" s="94"/>
      <c r="V52" s="94"/>
    </row>
    <row r="53" spans="1:22">
      <c r="A53" s="94" t="s">
        <v>5835</v>
      </c>
      <c r="B53" s="94"/>
      <c r="E53" s="94"/>
      <c r="F53" s="94"/>
      <c r="O53" s="97" t="s">
        <v>5079</v>
      </c>
      <c r="P53" s="18">
        <v>-1727718</v>
      </c>
      <c r="Q53" s="97">
        <v>2</v>
      </c>
      <c r="R53" s="97">
        <f t="shared" si="11"/>
        <v>596</v>
      </c>
      <c r="S53" s="97">
        <f t="shared" si="12"/>
        <v>-1029719928</v>
      </c>
      <c r="T53" s="97"/>
      <c r="U53" s="94"/>
      <c r="V53" s="94"/>
    </row>
    <row r="54" spans="1:22">
      <c r="A54" s="94" t="s">
        <v>5836</v>
      </c>
      <c r="B54" s="94"/>
      <c r="E54" s="94"/>
      <c r="F54" s="94"/>
      <c r="M54" t="s">
        <v>25</v>
      </c>
      <c r="O54" s="97" t="s">
        <v>5083</v>
      </c>
      <c r="P54" s="18">
        <v>-1000000</v>
      </c>
      <c r="Q54" s="97">
        <v>0</v>
      </c>
      <c r="R54" s="97">
        <f t="shared" si="11"/>
        <v>594</v>
      </c>
      <c r="S54" s="97">
        <f t="shared" si="12"/>
        <v>-594000000</v>
      </c>
      <c r="T54" s="97"/>
      <c r="U54" s="94"/>
      <c r="V54" s="94"/>
    </row>
    <row r="55" spans="1:22">
      <c r="A55" t="s">
        <v>5844</v>
      </c>
      <c r="B55" s="94"/>
      <c r="E55" s="94"/>
      <c r="F55" s="94"/>
      <c r="M55" t="s">
        <v>25</v>
      </c>
      <c r="O55" s="97" t="s">
        <v>5083</v>
      </c>
      <c r="P55" s="18">
        <v>-439200</v>
      </c>
      <c r="Q55" s="97">
        <v>1</v>
      </c>
      <c r="R55" s="97">
        <f t="shared" si="11"/>
        <v>594</v>
      </c>
      <c r="S55" s="97">
        <f t="shared" si="12"/>
        <v>-260884800</v>
      </c>
      <c r="T55" s="97"/>
      <c r="U55" s="94"/>
      <c r="V55" s="94"/>
    </row>
    <row r="56" spans="1:22">
      <c r="A56" t="s">
        <v>5511</v>
      </c>
      <c r="B56" s="94"/>
      <c r="E56" s="94"/>
      <c r="F56" s="94"/>
      <c r="O56" s="97" t="s">
        <v>5086</v>
      </c>
      <c r="P56" s="18">
        <v>-3631879</v>
      </c>
      <c r="Q56" s="97">
        <v>3</v>
      </c>
      <c r="R56" s="97">
        <f t="shared" si="11"/>
        <v>593</v>
      </c>
      <c r="S56" s="97">
        <f t="shared" si="12"/>
        <v>-2153704247</v>
      </c>
      <c r="T56" s="97"/>
      <c r="U56" s="94"/>
      <c r="V56" s="94"/>
    </row>
    <row r="57" spans="1:22">
      <c r="A57" s="94" t="s">
        <v>4848</v>
      </c>
      <c r="B57" s="94"/>
      <c r="E57" s="94"/>
      <c r="F57" s="94"/>
      <c r="O57" s="97" t="s">
        <v>5111</v>
      </c>
      <c r="P57" s="18">
        <v>-2428921</v>
      </c>
      <c r="Q57" s="97">
        <v>9</v>
      </c>
      <c r="R57" s="97">
        <f t="shared" si="11"/>
        <v>590</v>
      </c>
      <c r="S57" s="97">
        <f t="shared" si="12"/>
        <v>-1433063390</v>
      </c>
      <c r="T57" s="97"/>
      <c r="U57" s="94"/>
      <c r="V57" s="94"/>
    </row>
    <row r="58" spans="1:22">
      <c r="A58" s="94" t="s">
        <v>4846</v>
      </c>
      <c r="B58" s="94"/>
      <c r="E58" s="94"/>
      <c r="F58" s="94"/>
      <c r="O58" s="97" t="s">
        <v>5130</v>
      </c>
      <c r="P58" s="18">
        <v>-500000</v>
      </c>
      <c r="Q58" s="97">
        <v>1</v>
      </c>
      <c r="R58" s="97">
        <f t="shared" si="11"/>
        <v>581</v>
      </c>
      <c r="S58" s="97">
        <f t="shared" si="12"/>
        <v>-290500000</v>
      </c>
      <c r="T58" s="97"/>
      <c r="U58" s="94"/>
      <c r="V58" s="94"/>
    </row>
    <row r="59" spans="1:22">
      <c r="A59" s="94" t="s">
        <v>5838</v>
      </c>
      <c r="B59" s="94"/>
      <c r="C59" s="94" t="s">
        <v>25</v>
      </c>
      <c r="E59" s="94"/>
      <c r="F59" s="94"/>
      <c r="O59" s="97" t="s">
        <v>5131</v>
      </c>
      <c r="P59" s="18">
        <v>-2603</v>
      </c>
      <c r="Q59" s="97">
        <v>0</v>
      </c>
      <c r="R59" s="97">
        <f t="shared" si="11"/>
        <v>580</v>
      </c>
      <c r="S59" s="97">
        <f t="shared" si="12"/>
        <v>-1509740</v>
      </c>
      <c r="T59" s="97" t="s">
        <v>5132</v>
      </c>
      <c r="U59" s="94"/>
      <c r="V59" s="94"/>
    </row>
    <row r="60" spans="1:22">
      <c r="A60" s="94" t="s">
        <v>5839</v>
      </c>
      <c r="B60" s="94"/>
      <c r="E60" s="94"/>
      <c r="F60" s="94"/>
      <c r="O60" s="97" t="s">
        <v>5131</v>
      </c>
      <c r="P60" s="18">
        <v>-250000</v>
      </c>
      <c r="Q60" s="97">
        <v>7</v>
      </c>
      <c r="R60" s="97">
        <f t="shared" si="11"/>
        <v>580</v>
      </c>
      <c r="S60" s="97">
        <f t="shared" si="12"/>
        <v>-145000000</v>
      </c>
      <c r="T60" s="97"/>
      <c r="U60" s="94"/>
      <c r="V60" s="94"/>
    </row>
    <row r="61" spans="1:22">
      <c r="A61" t="s">
        <v>5855</v>
      </c>
      <c r="B61" s="94"/>
      <c r="E61" s="94"/>
      <c r="F61" s="94"/>
      <c r="O61" s="97" t="s">
        <v>4256</v>
      </c>
      <c r="P61" s="18">
        <v>185749</v>
      </c>
      <c r="Q61" s="97">
        <v>5</v>
      </c>
      <c r="R61" s="97">
        <f t="shared" si="11"/>
        <v>573</v>
      </c>
      <c r="S61" s="97">
        <f t="shared" si="12"/>
        <v>106434177</v>
      </c>
      <c r="T61" s="97"/>
      <c r="U61" s="94"/>
      <c r="V61" s="94"/>
    </row>
    <row r="62" spans="1:22">
      <c r="A62" t="s">
        <v>4481</v>
      </c>
      <c r="B62" s="94"/>
      <c r="E62" s="94"/>
      <c r="F62" s="94"/>
      <c r="O62" s="97" t="s">
        <v>5145</v>
      </c>
      <c r="P62" s="18">
        <v>300000</v>
      </c>
      <c r="Q62" s="97">
        <v>3</v>
      </c>
      <c r="R62" s="97">
        <f t="shared" si="11"/>
        <v>568</v>
      </c>
      <c r="S62" s="97">
        <f t="shared" si="12"/>
        <v>170400000</v>
      </c>
      <c r="T62" s="97"/>
      <c r="U62" s="94"/>
      <c r="V62" s="94"/>
    </row>
    <row r="63" spans="1:22">
      <c r="A63" s="94" t="s">
        <v>4508</v>
      </c>
      <c r="B63" s="94"/>
      <c r="E63" s="94"/>
      <c r="F63" s="94"/>
      <c r="O63" s="97" t="s">
        <v>5151</v>
      </c>
      <c r="P63" s="18">
        <v>-50000</v>
      </c>
      <c r="Q63" s="97">
        <v>3</v>
      </c>
      <c r="R63" s="97">
        <f t="shared" si="11"/>
        <v>565</v>
      </c>
      <c r="S63" s="97">
        <f t="shared" si="12"/>
        <v>-28250000</v>
      </c>
      <c r="T63" s="97"/>
      <c r="U63" s="94"/>
      <c r="V63" s="94"/>
    </row>
    <row r="64" spans="1:22">
      <c r="A64" s="94"/>
      <c r="B64" s="94"/>
      <c r="C64" s="94" t="s">
        <v>25</v>
      </c>
      <c r="E64" s="94"/>
      <c r="F64" s="94"/>
      <c r="O64" s="97" t="s">
        <v>5156</v>
      </c>
      <c r="P64" s="18">
        <v>-1683146</v>
      </c>
      <c r="Q64" s="97">
        <v>10</v>
      </c>
      <c r="R64" s="97">
        <f t="shared" si="11"/>
        <v>562</v>
      </c>
      <c r="S64" s="97">
        <f t="shared" si="12"/>
        <v>-945928052</v>
      </c>
      <c r="T64" s="97"/>
      <c r="U64" s="94"/>
      <c r="V64" s="94"/>
    </row>
    <row r="65" spans="1:23">
      <c r="B65" s="94"/>
      <c r="E65" s="94"/>
      <c r="F65" s="94"/>
      <c r="O65" s="97" t="s">
        <v>5168</v>
      </c>
      <c r="P65" s="18">
        <v>700000</v>
      </c>
      <c r="Q65" s="97">
        <v>18</v>
      </c>
      <c r="R65" s="97">
        <f t="shared" si="11"/>
        <v>552</v>
      </c>
      <c r="S65" s="97">
        <f t="shared" si="12"/>
        <v>386400000</v>
      </c>
      <c r="T65" s="97"/>
      <c r="U65" s="94"/>
      <c r="V65" s="94"/>
    </row>
    <row r="66" spans="1:23">
      <c r="A66" s="94" t="s">
        <v>5837</v>
      </c>
      <c r="B66" s="94"/>
      <c r="E66" s="94"/>
      <c r="F66" s="94"/>
      <c r="O66" s="97" t="s">
        <v>5181</v>
      </c>
      <c r="P66" s="18">
        <v>-700000</v>
      </c>
      <c r="Q66" s="97">
        <v>46</v>
      </c>
      <c r="R66" s="97">
        <f t="shared" si="11"/>
        <v>534</v>
      </c>
      <c r="S66" s="97">
        <f t="shared" si="12"/>
        <v>-373800000</v>
      </c>
      <c r="T66" s="97"/>
    </row>
    <row r="67" spans="1:23">
      <c r="A67" s="94" t="s">
        <v>5280</v>
      </c>
      <c r="B67" s="94"/>
      <c r="E67" s="94"/>
      <c r="F67" s="94"/>
      <c r="O67" s="97" t="s">
        <v>5231</v>
      </c>
      <c r="P67" s="18">
        <v>1000000</v>
      </c>
      <c r="Q67" s="97">
        <v>4</v>
      </c>
      <c r="R67" s="97">
        <f t="shared" si="11"/>
        <v>488</v>
      </c>
      <c r="S67" s="97">
        <f t="shared" si="12"/>
        <v>488000000</v>
      </c>
      <c r="T67" s="97"/>
    </row>
    <row r="68" spans="1:23">
      <c r="A68" s="94" t="s">
        <v>5289</v>
      </c>
      <c r="B68" s="94"/>
      <c r="E68" s="94"/>
      <c r="F68" s="94"/>
      <c r="O68" s="97" t="s">
        <v>5235</v>
      </c>
      <c r="P68" s="18">
        <v>1500000</v>
      </c>
      <c r="Q68" s="97">
        <v>1</v>
      </c>
      <c r="R68" s="97">
        <f t="shared" si="11"/>
        <v>484</v>
      </c>
      <c r="S68" s="97">
        <f t="shared" si="12"/>
        <v>726000000</v>
      </c>
      <c r="T68" s="97"/>
    </row>
    <row r="69" spans="1:23">
      <c r="A69" s="94" t="s">
        <v>5848</v>
      </c>
      <c r="B69" s="94"/>
      <c r="E69" s="94"/>
      <c r="F69" s="94"/>
      <c r="O69" s="97" t="s">
        <v>5236</v>
      </c>
      <c r="P69" s="18">
        <v>-1500000</v>
      </c>
      <c r="Q69" s="97">
        <v>15</v>
      </c>
      <c r="R69" s="97">
        <f t="shared" si="11"/>
        <v>483</v>
      </c>
      <c r="S69" s="97">
        <f t="shared" si="12"/>
        <v>-724500000</v>
      </c>
      <c r="T69" s="97"/>
    </row>
    <row r="70" spans="1:23">
      <c r="A70" s="94" t="s">
        <v>5294</v>
      </c>
      <c r="B70" s="94"/>
      <c r="E70" s="94"/>
      <c r="F70" s="94"/>
      <c r="O70" s="97" t="s">
        <v>5259</v>
      </c>
      <c r="P70" s="18">
        <v>-100000</v>
      </c>
      <c r="Q70" s="97">
        <v>5</v>
      </c>
      <c r="R70" s="97">
        <f t="shared" si="11"/>
        <v>468</v>
      </c>
      <c r="S70" s="97">
        <f t="shared" si="12"/>
        <v>-46800000</v>
      </c>
      <c r="T70" s="97"/>
    </row>
    <row r="71" spans="1:23">
      <c r="A71" s="94" t="s">
        <v>5849</v>
      </c>
      <c r="B71" s="94"/>
      <c r="E71" s="94"/>
      <c r="F71" s="94"/>
      <c r="O71" s="97" t="s">
        <v>5263</v>
      </c>
      <c r="P71" s="18">
        <v>1164690</v>
      </c>
      <c r="Q71" s="97">
        <v>4</v>
      </c>
      <c r="R71" s="97">
        <f t="shared" si="11"/>
        <v>463</v>
      </c>
      <c r="S71" s="97">
        <f t="shared" si="12"/>
        <v>539251470</v>
      </c>
      <c r="T71" s="97"/>
      <c r="U71" t="s">
        <v>25</v>
      </c>
    </row>
    <row r="72" spans="1:23">
      <c r="A72" s="94" t="s">
        <v>5850</v>
      </c>
      <c r="B72" s="94"/>
      <c r="E72" s="94"/>
      <c r="F72" s="94"/>
      <c r="O72" s="97" t="s">
        <v>5272</v>
      </c>
      <c r="P72" s="18">
        <v>1000000</v>
      </c>
      <c r="Q72" s="97">
        <v>4</v>
      </c>
      <c r="R72" s="97">
        <f t="shared" si="11"/>
        <v>459</v>
      </c>
      <c r="S72" s="97">
        <f t="shared" si="12"/>
        <v>459000000</v>
      </c>
      <c r="T72" s="97"/>
    </row>
    <row r="73" spans="1:23">
      <c r="A73" s="94" t="s">
        <v>5851</v>
      </c>
      <c r="B73" s="94"/>
      <c r="E73" s="94"/>
      <c r="F73" s="94"/>
      <c r="N73" t="s">
        <v>25</v>
      </c>
      <c r="O73" s="97" t="s">
        <v>5277</v>
      </c>
      <c r="P73" s="18">
        <v>-264690</v>
      </c>
      <c r="Q73" s="97">
        <v>7</v>
      </c>
      <c r="R73" s="97">
        <f t="shared" si="11"/>
        <v>455</v>
      </c>
      <c r="S73" s="97">
        <f t="shared" si="12"/>
        <v>-120433950</v>
      </c>
      <c r="T73" s="97"/>
    </row>
    <row r="74" spans="1:23">
      <c r="A74" s="94" t="s">
        <v>4483</v>
      </c>
      <c r="B74" s="94"/>
      <c r="E74" s="94"/>
      <c r="F74" s="94"/>
      <c r="O74" s="97" t="s">
        <v>5293</v>
      </c>
      <c r="P74" s="18">
        <v>2700000</v>
      </c>
      <c r="Q74" s="97">
        <v>0</v>
      </c>
      <c r="R74" s="97">
        <f t="shared" si="11"/>
        <v>448</v>
      </c>
      <c r="S74" s="97">
        <f t="shared" si="12"/>
        <v>1209600000</v>
      </c>
      <c r="T74" s="97"/>
    </row>
    <row r="75" spans="1:23">
      <c r="A75" s="94" t="s">
        <v>4559</v>
      </c>
      <c r="B75" s="94" t="s">
        <v>25</v>
      </c>
      <c r="E75" s="94"/>
      <c r="F75" s="94"/>
      <c r="O75" s="97" t="s">
        <v>5293</v>
      </c>
      <c r="P75" s="18">
        <v>-1000000</v>
      </c>
      <c r="Q75" s="97">
        <v>1</v>
      </c>
      <c r="R75" s="97">
        <f t="shared" si="11"/>
        <v>448</v>
      </c>
      <c r="S75" s="97">
        <f t="shared" si="12"/>
        <v>-448000000</v>
      </c>
      <c r="T75" s="97" t="s">
        <v>5295</v>
      </c>
    </row>
    <row r="76" spans="1:23">
      <c r="A76" s="94" t="s">
        <v>4719</v>
      </c>
      <c r="B76" s="94"/>
      <c r="E76" s="94"/>
      <c r="F76" s="94"/>
      <c r="O76" s="97" t="s">
        <v>5297</v>
      </c>
      <c r="P76" s="18">
        <v>-75616</v>
      </c>
      <c r="Q76" s="97">
        <v>2</v>
      </c>
      <c r="R76" s="97">
        <f t="shared" si="11"/>
        <v>447</v>
      </c>
      <c r="S76" s="97">
        <f t="shared" si="12"/>
        <v>-33800352</v>
      </c>
      <c r="T76" s="97" t="s">
        <v>5298</v>
      </c>
    </row>
    <row r="77" spans="1:23">
      <c r="A77" s="94" t="s">
        <v>4661</v>
      </c>
      <c r="B77" s="94"/>
      <c r="E77" s="94"/>
      <c r="F77" s="94"/>
      <c r="O77" s="97" t="s">
        <v>963</v>
      </c>
      <c r="P77" s="18">
        <v>-2424384</v>
      </c>
      <c r="Q77" s="97">
        <v>2</v>
      </c>
      <c r="R77" s="97">
        <f t="shared" si="11"/>
        <v>445</v>
      </c>
      <c r="S77" s="97">
        <f t="shared" si="12"/>
        <v>-1078850880</v>
      </c>
      <c r="T77" s="97"/>
      <c r="W77" t="s">
        <v>25</v>
      </c>
    </row>
    <row r="78" spans="1:23">
      <c r="A78" s="94"/>
      <c r="B78" s="94"/>
      <c r="E78" s="94"/>
      <c r="F78" s="94"/>
      <c r="L78" s="112"/>
      <c r="M78" t="s">
        <v>25</v>
      </c>
      <c r="O78" s="97" t="s">
        <v>5312</v>
      </c>
      <c r="P78" s="18">
        <v>-2000000</v>
      </c>
      <c r="Q78" s="97">
        <v>6</v>
      </c>
      <c r="R78" s="97">
        <f t="shared" si="11"/>
        <v>443</v>
      </c>
      <c r="S78" s="97">
        <f t="shared" si="12"/>
        <v>-886000000</v>
      </c>
      <c r="T78" s="97"/>
    </row>
    <row r="79" spans="1:23">
      <c r="A79" s="94"/>
      <c r="B79" s="94"/>
      <c r="E79" s="94"/>
      <c r="F79" s="94"/>
      <c r="O79" s="97" t="s">
        <v>5345</v>
      </c>
      <c r="P79" s="18">
        <v>2500000</v>
      </c>
      <c r="Q79" s="97">
        <v>1</v>
      </c>
      <c r="R79" s="97">
        <f t="shared" si="11"/>
        <v>437</v>
      </c>
      <c r="S79" s="97">
        <f t="shared" si="12"/>
        <v>1092500000</v>
      </c>
      <c r="T79" s="97"/>
    </row>
    <row r="80" spans="1:23">
      <c r="B80" s="94"/>
      <c r="E80" s="94"/>
      <c r="F80" s="94"/>
      <c r="O80" s="97" t="s">
        <v>5348</v>
      </c>
      <c r="P80" s="18">
        <v>3000000</v>
      </c>
      <c r="Q80" s="97">
        <v>3</v>
      </c>
      <c r="R80" s="97">
        <f t="shared" si="11"/>
        <v>436</v>
      </c>
      <c r="S80" s="97">
        <f t="shared" si="12"/>
        <v>1308000000</v>
      </c>
      <c r="T80" s="97"/>
    </row>
    <row r="81" spans="1:28">
      <c r="A81" s="94" t="s">
        <v>5842</v>
      </c>
      <c r="E81" s="94"/>
      <c r="F81" s="94"/>
      <c r="O81" s="97" t="s">
        <v>5354</v>
      </c>
      <c r="P81" s="18">
        <v>-300000</v>
      </c>
      <c r="Q81" s="97">
        <v>5</v>
      </c>
      <c r="R81" s="97">
        <f t="shared" si="11"/>
        <v>433</v>
      </c>
      <c r="S81" s="97">
        <f t="shared" si="12"/>
        <v>-129900000</v>
      </c>
      <c r="T81" s="97"/>
    </row>
    <row r="82" spans="1:28">
      <c r="A82" s="94" t="s">
        <v>5840</v>
      </c>
      <c r="E82" s="94"/>
      <c r="F82" s="94"/>
      <c r="O82" s="97" t="s">
        <v>5365</v>
      </c>
      <c r="P82" s="18">
        <v>500000</v>
      </c>
      <c r="Q82" s="97">
        <v>1</v>
      </c>
      <c r="R82" s="97">
        <f t="shared" si="11"/>
        <v>428</v>
      </c>
      <c r="S82" s="97">
        <f t="shared" si="12"/>
        <v>214000000</v>
      </c>
      <c r="T82" s="97"/>
    </row>
    <row r="83" spans="1:28">
      <c r="A83" s="94" t="s">
        <v>5841</v>
      </c>
      <c r="E83" s="94"/>
      <c r="F83" s="94"/>
      <c r="O83" s="97" t="s">
        <v>5367</v>
      </c>
      <c r="P83" s="18">
        <v>1000000</v>
      </c>
      <c r="Q83" s="97">
        <v>5</v>
      </c>
      <c r="R83" s="97">
        <f t="shared" si="11"/>
        <v>427</v>
      </c>
      <c r="S83" s="97">
        <f t="shared" si="12"/>
        <v>427000000</v>
      </c>
      <c r="T83" s="97"/>
    </row>
    <row r="84" spans="1:28">
      <c r="A84" s="94" t="s">
        <v>5852</v>
      </c>
      <c r="E84" s="94"/>
      <c r="F84" s="94"/>
      <c r="O84" s="97" t="s">
        <v>5372</v>
      </c>
      <c r="P84" s="18">
        <v>-2700000</v>
      </c>
      <c r="Q84" s="97">
        <v>1</v>
      </c>
      <c r="R84" s="97">
        <f t="shared" si="11"/>
        <v>422</v>
      </c>
      <c r="S84" s="97">
        <f t="shared" si="12"/>
        <v>-1139400000</v>
      </c>
      <c r="T84" s="97"/>
    </row>
    <row r="85" spans="1:28">
      <c r="A85" s="94" t="s">
        <v>5853</v>
      </c>
      <c r="E85" s="94"/>
      <c r="F85" s="94"/>
      <c r="M85" t="s">
        <v>25</v>
      </c>
      <c r="O85" s="97" t="s">
        <v>5373</v>
      </c>
      <c r="P85" s="18">
        <v>-3600000</v>
      </c>
      <c r="Q85" s="97">
        <v>1</v>
      </c>
      <c r="R85" s="97">
        <f t="shared" si="11"/>
        <v>421</v>
      </c>
      <c r="S85" s="97">
        <f t="shared" si="12"/>
        <v>-1515600000</v>
      </c>
      <c r="T85" s="97"/>
    </row>
    <row r="86" spans="1:28">
      <c r="A86" s="94" t="s">
        <v>5854</v>
      </c>
      <c r="O86" s="97" t="s">
        <v>987</v>
      </c>
      <c r="P86" s="18">
        <v>-400000</v>
      </c>
      <c r="Q86" s="97">
        <v>17</v>
      </c>
      <c r="R86" s="97">
        <f t="shared" si="11"/>
        <v>420</v>
      </c>
      <c r="S86" s="97">
        <f t="shared" si="12"/>
        <v>-168000000</v>
      </c>
      <c r="T86" s="97"/>
    </row>
    <row r="87" spans="1:28">
      <c r="A87" s="94"/>
      <c r="O87" s="97" t="s">
        <v>5393</v>
      </c>
      <c r="P87" s="18">
        <v>1000000</v>
      </c>
      <c r="Q87" s="97">
        <v>20</v>
      </c>
      <c r="R87" s="97">
        <f t="shared" si="11"/>
        <v>403</v>
      </c>
      <c r="S87" s="97">
        <f t="shared" si="12"/>
        <v>403000000</v>
      </c>
      <c r="T87" s="97"/>
    </row>
    <row r="88" spans="1:28">
      <c r="A88" s="94" t="s">
        <v>5845</v>
      </c>
      <c r="O88" s="97" t="s">
        <v>5413</v>
      </c>
      <c r="P88" s="18">
        <v>-1000000</v>
      </c>
      <c r="Q88" s="97">
        <v>25</v>
      </c>
      <c r="R88" s="97">
        <f t="shared" si="11"/>
        <v>383</v>
      </c>
      <c r="S88" s="97">
        <f t="shared" si="12"/>
        <v>-383000000</v>
      </c>
      <c r="T88" s="97"/>
    </row>
    <row r="89" spans="1:28">
      <c r="A89" t="s">
        <v>5846</v>
      </c>
      <c r="O89" s="97" t="s">
        <v>5443</v>
      </c>
      <c r="P89" s="18">
        <v>300000</v>
      </c>
      <c r="Q89" s="97">
        <v>3</v>
      </c>
      <c r="R89" s="97">
        <f t="shared" si="11"/>
        <v>358</v>
      </c>
      <c r="S89" s="97">
        <f t="shared" si="12"/>
        <v>107400000</v>
      </c>
      <c r="T89" s="97"/>
    </row>
    <row r="90" spans="1:28">
      <c r="A90" s="94" t="s">
        <v>5847</v>
      </c>
      <c r="O90" s="97" t="s">
        <v>5448</v>
      </c>
      <c r="P90" s="18">
        <v>-300000</v>
      </c>
      <c r="Q90" s="97">
        <v>9</v>
      </c>
      <c r="R90" s="97">
        <f t="shared" si="11"/>
        <v>355</v>
      </c>
      <c r="S90" s="97">
        <f t="shared" si="12"/>
        <v>-106500000</v>
      </c>
      <c r="T90" s="97"/>
    </row>
    <row r="91" spans="1:28">
      <c r="A91" s="94"/>
      <c r="O91" s="97" t="s">
        <v>5467</v>
      </c>
      <c r="P91" s="18">
        <v>1000000</v>
      </c>
      <c r="Q91" s="97">
        <v>24</v>
      </c>
      <c r="R91" s="97">
        <f t="shared" si="11"/>
        <v>346</v>
      </c>
      <c r="S91" s="97">
        <f t="shared" si="12"/>
        <v>346000000</v>
      </c>
      <c r="T91" s="97"/>
      <c r="W91" t="s">
        <v>25</v>
      </c>
    </row>
    <row r="92" spans="1:28">
      <c r="M92" t="s">
        <v>25</v>
      </c>
      <c r="O92" s="97" t="s">
        <v>5506</v>
      </c>
      <c r="P92" s="18">
        <v>-1380100</v>
      </c>
      <c r="Q92" s="97">
        <v>11</v>
      </c>
      <c r="R92" s="97">
        <f t="shared" si="11"/>
        <v>322</v>
      </c>
      <c r="S92" s="97">
        <f t="shared" si="12"/>
        <v>-444392200</v>
      </c>
      <c r="T92" s="97"/>
    </row>
    <row r="93" spans="1:28">
      <c r="A93" s="94"/>
      <c r="O93" s="97" t="s">
        <v>5520</v>
      </c>
      <c r="P93" s="18">
        <v>1280015</v>
      </c>
      <c r="Q93" s="97">
        <v>0</v>
      </c>
      <c r="R93" s="97">
        <f t="shared" ref="R93:R141" si="15">Q93+R94</f>
        <v>311</v>
      </c>
      <c r="S93" s="97">
        <f t="shared" ref="S93:S135" si="16">P93*R93</f>
        <v>398084665</v>
      </c>
      <c r="T93" s="97"/>
    </row>
    <row r="94" spans="1:28">
      <c r="A94" s="94"/>
      <c r="O94" s="97" t="s">
        <v>5520</v>
      </c>
      <c r="P94" s="18">
        <v>300000</v>
      </c>
      <c r="Q94" s="97">
        <v>7</v>
      </c>
      <c r="R94" s="97">
        <f t="shared" si="15"/>
        <v>311</v>
      </c>
      <c r="S94" s="97">
        <f t="shared" si="16"/>
        <v>93300000</v>
      </c>
      <c r="T94" s="97"/>
    </row>
    <row r="95" spans="1:28">
      <c r="O95" s="97" t="s">
        <v>5527</v>
      </c>
      <c r="P95" s="18">
        <v>3000000</v>
      </c>
      <c r="Q95" s="97">
        <v>3</v>
      </c>
      <c r="R95" s="97">
        <f t="shared" si="15"/>
        <v>304</v>
      </c>
      <c r="S95" s="97">
        <f t="shared" si="16"/>
        <v>912000000</v>
      </c>
      <c r="T95" s="97"/>
      <c r="AB95" t="s">
        <v>25</v>
      </c>
    </row>
    <row r="96" spans="1:28">
      <c r="A96" s="94"/>
      <c r="O96" s="97" t="s">
        <v>5546</v>
      </c>
      <c r="P96" s="18">
        <v>300000</v>
      </c>
      <c r="Q96" s="97">
        <v>8</v>
      </c>
      <c r="R96" s="97">
        <f t="shared" si="15"/>
        <v>301</v>
      </c>
      <c r="S96" s="97">
        <f t="shared" si="16"/>
        <v>90300000</v>
      </c>
      <c r="T96" s="97"/>
    </row>
    <row r="97" spans="1:25">
      <c r="A97" s="94"/>
      <c r="O97" s="97" t="s">
        <v>5567</v>
      </c>
      <c r="P97" s="18">
        <v>-3500000</v>
      </c>
      <c r="Q97" s="97">
        <v>6</v>
      </c>
      <c r="R97" s="97">
        <f t="shared" si="15"/>
        <v>293</v>
      </c>
      <c r="S97" s="97">
        <f t="shared" si="16"/>
        <v>-1025500000</v>
      </c>
      <c r="T97" s="97"/>
    </row>
    <row r="98" spans="1:25">
      <c r="O98" s="97" t="s">
        <v>5572</v>
      </c>
      <c r="P98" s="18">
        <v>-70000</v>
      </c>
      <c r="Q98" s="97">
        <v>1</v>
      </c>
      <c r="R98" s="97">
        <f t="shared" si="15"/>
        <v>287</v>
      </c>
      <c r="S98" s="97">
        <f t="shared" si="16"/>
        <v>-20090000</v>
      </c>
      <c r="T98" s="97"/>
    </row>
    <row r="99" spans="1:25">
      <c r="O99" s="97" t="s">
        <v>5576</v>
      </c>
      <c r="P99" s="18">
        <v>70085</v>
      </c>
      <c r="Q99" s="97">
        <v>7</v>
      </c>
      <c r="R99" s="97">
        <f t="shared" si="15"/>
        <v>286</v>
      </c>
      <c r="S99" s="97">
        <f t="shared" si="16"/>
        <v>20044310</v>
      </c>
      <c r="T99" s="97" t="s">
        <v>5577</v>
      </c>
    </row>
    <row r="100" spans="1:25">
      <c r="O100" s="97" t="s">
        <v>5583</v>
      </c>
      <c r="P100" s="18">
        <v>-1000000</v>
      </c>
      <c r="Q100" s="97">
        <v>31</v>
      </c>
      <c r="R100" s="97">
        <f t="shared" si="15"/>
        <v>279</v>
      </c>
      <c r="S100" s="97">
        <f t="shared" si="16"/>
        <v>-279000000</v>
      </c>
      <c r="T100" s="97"/>
    </row>
    <row r="101" spans="1:25">
      <c r="O101" s="97" t="s">
        <v>5612</v>
      </c>
      <c r="P101" s="18">
        <v>6000000</v>
      </c>
      <c r="Q101" s="97">
        <v>1</v>
      </c>
      <c r="R101" s="97">
        <f t="shared" si="15"/>
        <v>248</v>
      </c>
      <c r="S101" s="97">
        <f t="shared" si="16"/>
        <v>1488000000</v>
      </c>
      <c r="T101" s="97"/>
      <c r="U101" t="s">
        <v>25</v>
      </c>
    </row>
    <row r="102" spans="1:25">
      <c r="O102" s="97" t="s">
        <v>5613</v>
      </c>
      <c r="P102" s="18">
        <v>6000000</v>
      </c>
      <c r="Q102" s="97">
        <v>11</v>
      </c>
      <c r="R102" s="97">
        <f t="shared" si="15"/>
        <v>247</v>
      </c>
      <c r="S102" s="97">
        <f t="shared" si="16"/>
        <v>1482000000</v>
      </c>
      <c r="T102" s="97"/>
    </row>
    <row r="103" spans="1:25">
      <c r="O103" s="97" t="s">
        <v>5628</v>
      </c>
      <c r="P103" s="18">
        <v>48000000</v>
      </c>
      <c r="Q103" s="97">
        <v>8</v>
      </c>
      <c r="R103" s="97">
        <f t="shared" si="15"/>
        <v>236</v>
      </c>
      <c r="S103" s="97">
        <f t="shared" si="16"/>
        <v>11328000000</v>
      </c>
      <c r="T103" s="97"/>
    </row>
    <row r="104" spans="1:25">
      <c r="O104" s="97" t="s">
        <v>5645</v>
      </c>
      <c r="P104" s="18">
        <v>-400000</v>
      </c>
      <c r="Q104" s="97">
        <v>23</v>
      </c>
      <c r="R104" s="97">
        <f t="shared" si="15"/>
        <v>228</v>
      </c>
      <c r="S104" s="97">
        <f t="shared" si="16"/>
        <v>-91200000</v>
      </c>
      <c r="T104" s="97"/>
    </row>
    <row r="105" spans="1:25">
      <c r="O105" s="97" t="s">
        <v>5682</v>
      </c>
      <c r="P105" s="18">
        <v>500000</v>
      </c>
      <c r="Q105" s="97">
        <v>4</v>
      </c>
      <c r="R105" s="97">
        <f t="shared" si="15"/>
        <v>205</v>
      </c>
      <c r="S105" s="97">
        <f t="shared" si="16"/>
        <v>102500000</v>
      </c>
      <c r="T105" s="97"/>
    </row>
    <row r="106" spans="1:25">
      <c r="O106" s="97" t="s">
        <v>5686</v>
      </c>
      <c r="P106" s="18">
        <v>-500000</v>
      </c>
      <c r="Q106" s="97">
        <v>48</v>
      </c>
      <c r="R106" s="97">
        <f t="shared" si="15"/>
        <v>201</v>
      </c>
      <c r="S106" s="97">
        <f t="shared" si="16"/>
        <v>-100500000</v>
      </c>
      <c r="T106" s="97"/>
      <c r="V106" t="s">
        <v>25</v>
      </c>
    </row>
    <row r="107" spans="1:25">
      <c r="O107" s="97" t="s">
        <v>5748</v>
      </c>
      <c r="P107" s="18">
        <v>2000000</v>
      </c>
      <c r="Q107" s="97">
        <v>11</v>
      </c>
      <c r="R107" s="97">
        <f t="shared" si="15"/>
        <v>153</v>
      </c>
      <c r="S107" s="97">
        <f t="shared" si="16"/>
        <v>306000000</v>
      </c>
      <c r="T107" s="97"/>
    </row>
    <row r="108" spans="1:25">
      <c r="O108" s="97" t="s">
        <v>5762</v>
      </c>
      <c r="P108" s="18">
        <v>-2000000</v>
      </c>
      <c r="Q108" s="97">
        <v>1</v>
      </c>
      <c r="R108" s="97">
        <f t="shared" si="15"/>
        <v>142</v>
      </c>
      <c r="S108" s="97">
        <f t="shared" si="16"/>
        <v>-284000000</v>
      </c>
      <c r="T108" s="97"/>
      <c r="V108" t="s">
        <v>25</v>
      </c>
    </row>
    <row r="109" spans="1:25">
      <c r="O109" s="97" t="s">
        <v>5764</v>
      </c>
      <c r="P109" s="18">
        <v>-42203</v>
      </c>
      <c r="Q109" s="97">
        <v>2</v>
      </c>
      <c r="R109" s="97">
        <f t="shared" si="15"/>
        <v>141</v>
      </c>
      <c r="S109" s="97">
        <f t="shared" si="16"/>
        <v>-5950623</v>
      </c>
      <c r="T109" s="97" t="s">
        <v>5769</v>
      </c>
    </row>
    <row r="110" spans="1:25">
      <c r="M110" t="s">
        <v>25</v>
      </c>
      <c r="O110" s="97" t="s">
        <v>5772</v>
      </c>
      <c r="P110" s="18">
        <v>-365000</v>
      </c>
      <c r="Q110" s="97">
        <v>5</v>
      </c>
      <c r="R110" s="97">
        <f t="shared" si="15"/>
        <v>139</v>
      </c>
      <c r="S110" s="97">
        <f t="shared" si="16"/>
        <v>-50735000</v>
      </c>
      <c r="T110" s="97" t="s">
        <v>5773</v>
      </c>
    </row>
    <row r="111" spans="1:25">
      <c r="O111" s="97" t="s">
        <v>5779</v>
      </c>
      <c r="P111" s="18">
        <v>12000000</v>
      </c>
      <c r="Q111" s="97">
        <v>9</v>
      </c>
      <c r="R111" s="97">
        <f t="shared" si="15"/>
        <v>134</v>
      </c>
      <c r="S111" s="97">
        <f t="shared" si="16"/>
        <v>1608000000</v>
      </c>
      <c r="T111" s="97" t="s">
        <v>5780</v>
      </c>
      <c r="Y111" t="s">
        <v>25</v>
      </c>
    </row>
    <row r="112" spans="1:25">
      <c r="O112" s="97" t="s">
        <v>5793</v>
      </c>
      <c r="P112" s="18">
        <v>-4000000</v>
      </c>
      <c r="Q112" s="97">
        <v>1</v>
      </c>
      <c r="R112" s="97">
        <f t="shared" si="15"/>
        <v>125</v>
      </c>
      <c r="S112" s="97">
        <f t="shared" si="16"/>
        <v>-500000000</v>
      </c>
      <c r="T112" s="97"/>
    </row>
    <row r="113" spans="1:23">
      <c r="O113" s="97" t="s">
        <v>5798</v>
      </c>
      <c r="P113" s="18">
        <v>-5000000</v>
      </c>
      <c r="Q113" s="97">
        <v>2</v>
      </c>
      <c r="R113" s="97">
        <f>Q113+R114</f>
        <v>124</v>
      </c>
      <c r="S113" s="97">
        <f t="shared" si="16"/>
        <v>-620000000</v>
      </c>
      <c r="T113" s="97"/>
    </row>
    <row r="114" spans="1:23">
      <c r="O114" s="97" t="s">
        <v>5796</v>
      </c>
      <c r="P114" s="18">
        <v>-2500000</v>
      </c>
      <c r="Q114" s="97">
        <v>1</v>
      </c>
      <c r="R114" s="97">
        <f t="shared" si="15"/>
        <v>122</v>
      </c>
      <c r="S114" s="97">
        <f t="shared" si="16"/>
        <v>-305000000</v>
      </c>
      <c r="T114" s="97"/>
    </row>
    <row r="115" spans="1:23">
      <c r="O115" s="97" t="s">
        <v>5797</v>
      </c>
      <c r="P115" s="18">
        <v>-500000</v>
      </c>
      <c r="Q115" s="97">
        <v>17</v>
      </c>
      <c r="R115" s="97">
        <f t="shared" si="15"/>
        <v>121</v>
      </c>
      <c r="S115" s="97">
        <f t="shared" si="16"/>
        <v>-60500000</v>
      </c>
      <c r="T115" s="97"/>
    </row>
    <row r="116" spans="1:23">
      <c r="A116" s="305" t="s">
        <v>180</v>
      </c>
      <c r="B116" s="306" t="s">
        <v>5915</v>
      </c>
      <c r="C116" s="32" t="s">
        <v>5916</v>
      </c>
      <c r="D116" s="32" t="s">
        <v>5917</v>
      </c>
      <c r="E116" s="32" t="s">
        <v>5918</v>
      </c>
      <c r="F116" s="32" t="s">
        <v>5919</v>
      </c>
      <c r="G116" s="32" t="s">
        <v>5328</v>
      </c>
      <c r="H116" s="32" t="s">
        <v>5920</v>
      </c>
      <c r="I116" s="280" t="s">
        <v>5921</v>
      </c>
      <c r="N116" t="s">
        <v>25</v>
      </c>
      <c r="O116" s="97" t="s">
        <v>5799</v>
      </c>
      <c r="P116" s="18">
        <v>-192797</v>
      </c>
      <c r="Q116" s="97">
        <v>15</v>
      </c>
      <c r="R116" s="97">
        <f t="shared" si="15"/>
        <v>104</v>
      </c>
      <c r="S116" s="97">
        <f t="shared" si="16"/>
        <v>-20050888</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5804</v>
      </c>
      <c r="P117" s="18">
        <v>2000000</v>
      </c>
      <c r="Q117" s="97">
        <v>12</v>
      </c>
      <c r="R117" s="97">
        <f t="shared" si="15"/>
        <v>89</v>
      </c>
      <c r="S117" s="97">
        <f t="shared" si="16"/>
        <v>178000000</v>
      </c>
      <c r="T117" s="97"/>
    </row>
    <row r="118" spans="1:23">
      <c r="A118" s="305" t="s">
        <v>4744</v>
      </c>
      <c r="B118" s="18"/>
      <c r="C118" s="18"/>
      <c r="D118" s="18"/>
      <c r="E118" s="18"/>
      <c r="F118" s="32">
        <f>F117+I118</f>
        <v>419590.64327485382</v>
      </c>
      <c r="G118" s="32">
        <v>25</v>
      </c>
      <c r="H118" s="32">
        <v>180</v>
      </c>
      <c r="I118" s="311">
        <f>G118*F117/H118</f>
        <v>51169.59064327486</v>
      </c>
      <c r="O118" s="97" t="s">
        <v>5812</v>
      </c>
      <c r="P118" s="18">
        <v>-2000000</v>
      </c>
      <c r="Q118" s="97">
        <v>0</v>
      </c>
      <c r="R118" s="97">
        <f t="shared" si="15"/>
        <v>77</v>
      </c>
      <c r="S118" s="97">
        <f t="shared" si="16"/>
        <v>-154000000</v>
      </c>
      <c r="T118" s="97"/>
    </row>
    <row r="119" spans="1:23">
      <c r="A119" s="305" t="s">
        <v>5433</v>
      </c>
      <c r="B119" s="18"/>
      <c r="C119" s="18"/>
      <c r="D119" s="18"/>
      <c r="E119" s="18"/>
      <c r="F119" s="32">
        <f>F118+I119</f>
        <v>441232.68698060943</v>
      </c>
      <c r="G119" s="32">
        <v>49</v>
      </c>
      <c r="H119" s="32">
        <v>950</v>
      </c>
      <c r="I119" s="311">
        <f>F118*G119/H119</f>
        <v>21642.043705755616</v>
      </c>
      <c r="O119" s="97" t="s">
        <v>5812</v>
      </c>
      <c r="P119" s="18">
        <v>-4000000</v>
      </c>
      <c r="Q119" s="97">
        <v>1</v>
      </c>
      <c r="R119" s="97">
        <f t="shared" si="15"/>
        <v>77</v>
      </c>
      <c r="S119" s="97">
        <f t="shared" si="16"/>
        <v>-308000000</v>
      </c>
      <c r="T119" s="97"/>
    </row>
    <row r="120" spans="1:23">
      <c r="A120" s="305" t="s">
        <v>5890</v>
      </c>
      <c r="B120" s="18"/>
      <c r="C120" s="18"/>
      <c r="D120" s="18"/>
      <c r="E120" s="18"/>
      <c r="F120" s="32">
        <f>F119+I120</f>
        <v>473322.33694283559</v>
      </c>
      <c r="G120" s="32">
        <v>80</v>
      </c>
      <c r="H120" s="32">
        <v>1100</v>
      </c>
      <c r="I120" s="311">
        <f>F119*G120/H120</f>
        <v>32089.64996222614</v>
      </c>
      <c r="O120" s="97" t="s">
        <v>5814</v>
      </c>
      <c r="P120" s="18">
        <v>-3000000</v>
      </c>
      <c r="Q120" s="97">
        <v>3</v>
      </c>
      <c r="R120" s="97">
        <f t="shared" si="15"/>
        <v>76</v>
      </c>
      <c r="S120" s="97">
        <f t="shared" si="16"/>
        <v>-228000000</v>
      </c>
      <c r="T120" s="97"/>
    </row>
    <row r="121" spans="1:23">
      <c r="A121" s="9"/>
      <c r="B121" s="18"/>
      <c r="O121" s="97" t="s">
        <v>5822</v>
      </c>
      <c r="P121" s="18">
        <v>-6000000</v>
      </c>
      <c r="Q121" s="97">
        <v>1</v>
      </c>
      <c r="R121" s="97">
        <f t="shared" si="15"/>
        <v>73</v>
      </c>
      <c r="S121" s="97">
        <f t="shared" si="16"/>
        <v>-438000000</v>
      </c>
      <c r="T121" s="97"/>
    </row>
    <row r="122" spans="1:23">
      <c r="A122" s="305"/>
      <c r="B122" s="307" t="s">
        <v>5922</v>
      </c>
      <c r="C122" s="18"/>
      <c r="D122" s="18" t="s">
        <v>5923</v>
      </c>
      <c r="E122" s="18"/>
      <c r="F122" s="18" t="s">
        <v>5924</v>
      </c>
      <c r="G122" s="32"/>
      <c r="H122" s="32"/>
      <c r="I122" s="207"/>
      <c r="O122" s="97" t="s">
        <v>5826</v>
      </c>
      <c r="P122" s="18">
        <v>-10000000</v>
      </c>
      <c r="Q122" s="97">
        <v>0</v>
      </c>
      <c r="R122" s="97">
        <f t="shared" si="15"/>
        <v>72</v>
      </c>
      <c r="S122" s="97">
        <f t="shared" si="16"/>
        <v>-720000000</v>
      </c>
      <c r="T122" s="97"/>
    </row>
    <row r="123" spans="1:23">
      <c r="A123" s="305" t="s">
        <v>5914</v>
      </c>
      <c r="B123" s="307">
        <v>260000000</v>
      </c>
      <c r="C123" s="18"/>
      <c r="D123" s="308">
        <f>10440000*D117</f>
        <v>166090909.09090909</v>
      </c>
      <c r="E123" s="18"/>
      <c r="F123" s="310">
        <f>1066*F120</f>
        <v>504561611.18106276</v>
      </c>
      <c r="G123" s="32"/>
      <c r="H123" s="32"/>
      <c r="I123" s="207"/>
      <c r="O123" s="97" t="s">
        <v>5826</v>
      </c>
      <c r="P123" s="18">
        <v>-5500000</v>
      </c>
      <c r="Q123" s="97">
        <v>1</v>
      </c>
      <c r="R123" s="97">
        <f t="shared" si="15"/>
        <v>72</v>
      </c>
      <c r="S123" s="97">
        <f t="shared" si="16"/>
        <v>-396000000</v>
      </c>
      <c r="T123" s="97"/>
    </row>
    <row r="124" spans="1:23">
      <c r="A124" s="94"/>
      <c r="B124" s="94"/>
      <c r="E124" s="94"/>
      <c r="F124" s="94"/>
      <c r="G124" s="94"/>
      <c r="H124" s="94"/>
      <c r="I124" s="94"/>
      <c r="J124" s="94"/>
      <c r="O124" s="97" t="s">
        <v>5827</v>
      </c>
      <c r="P124" s="18">
        <v>-1500000</v>
      </c>
      <c r="Q124" s="97">
        <v>9</v>
      </c>
      <c r="R124" s="97">
        <f t="shared" si="15"/>
        <v>71</v>
      </c>
      <c r="S124" s="97">
        <f t="shared" si="16"/>
        <v>-106500000</v>
      </c>
      <c r="T124" s="97"/>
    </row>
    <row r="125" spans="1:23">
      <c r="A125" s="94"/>
      <c r="B125" s="94"/>
      <c r="E125" s="94"/>
      <c r="F125" s="94"/>
      <c r="G125" s="94"/>
      <c r="H125" s="94"/>
      <c r="I125" s="94" t="s">
        <v>25</v>
      </c>
      <c r="J125" s="94"/>
      <c r="O125" s="97" t="s">
        <v>5856</v>
      </c>
      <c r="P125" s="18">
        <v>-22545000</v>
      </c>
      <c r="Q125" s="97">
        <v>18</v>
      </c>
      <c r="R125" s="97">
        <f t="shared" si="15"/>
        <v>62</v>
      </c>
      <c r="S125" s="97">
        <f t="shared" si="16"/>
        <v>-1397790000</v>
      </c>
      <c r="T125" s="97" t="s">
        <v>5861</v>
      </c>
    </row>
    <row r="126" spans="1:23">
      <c r="A126" s="94"/>
      <c r="B126" s="94"/>
      <c r="E126" s="94"/>
      <c r="F126" s="94"/>
      <c r="G126" s="94"/>
      <c r="H126" s="94"/>
      <c r="I126" s="94"/>
      <c r="J126" s="94"/>
      <c r="O126" s="97" t="s">
        <v>5874</v>
      </c>
      <c r="P126" s="18">
        <v>5000000</v>
      </c>
      <c r="Q126" s="97">
        <v>9</v>
      </c>
      <c r="R126" s="97">
        <f t="shared" si="15"/>
        <v>44</v>
      </c>
      <c r="S126" s="97">
        <f t="shared" si="16"/>
        <v>220000000</v>
      </c>
      <c r="T126" s="97"/>
    </row>
    <row r="127" spans="1:23">
      <c r="A127" s="315" t="s">
        <v>6474</v>
      </c>
      <c r="B127" s="316" t="s">
        <v>6472</v>
      </c>
      <c r="C127" s="32" t="s">
        <v>6502</v>
      </c>
      <c r="D127" s="239" t="s">
        <v>1100</v>
      </c>
      <c r="E127" s="32" t="s">
        <v>6473</v>
      </c>
      <c r="F127" s="207" t="s">
        <v>5916</v>
      </c>
      <c r="G127" s="207" t="s">
        <v>6501</v>
      </c>
      <c r="H127" s="94"/>
      <c r="I127" s="94"/>
      <c r="J127" s="94"/>
      <c r="O127" s="97" t="s">
        <v>5890</v>
      </c>
      <c r="P127" s="18">
        <v>3000000</v>
      </c>
      <c r="Q127" s="97">
        <v>0</v>
      </c>
      <c r="R127" s="97">
        <f t="shared" si="15"/>
        <v>35</v>
      </c>
      <c r="S127" s="97">
        <f t="shared" si="16"/>
        <v>105000000</v>
      </c>
      <c r="T127" s="97"/>
      <c r="W127" t="s">
        <v>25</v>
      </c>
    </row>
    <row r="128" spans="1:23">
      <c r="A128" s="315">
        <v>1390</v>
      </c>
      <c r="B128" s="316">
        <v>354</v>
      </c>
      <c r="C128" s="32"/>
      <c r="D128" s="239">
        <v>1900</v>
      </c>
      <c r="E128" s="32">
        <f t="shared" ref="E128:E133" si="17">B128*1000/D128</f>
        <v>186.31578947368422</v>
      </c>
      <c r="F128" s="18">
        <v>700000</v>
      </c>
      <c r="G128" s="207">
        <f t="shared" ref="G128:G133" si="18">B128*1000*1000/F128</f>
        <v>505.71428571428572</v>
      </c>
      <c r="H128" s="94"/>
      <c r="I128" s="94"/>
      <c r="J128" s="94"/>
      <c r="O128" s="97" t="s">
        <v>5890</v>
      </c>
      <c r="P128" s="18">
        <v>-3000000</v>
      </c>
      <c r="Q128" s="97">
        <v>1</v>
      </c>
      <c r="R128" s="97">
        <f t="shared" si="15"/>
        <v>35</v>
      </c>
      <c r="S128" s="97">
        <f t="shared" si="16"/>
        <v>-105000000</v>
      </c>
      <c r="T128" s="97"/>
    </row>
    <row r="129" spans="1:22">
      <c r="A129" s="315">
        <v>1391</v>
      </c>
      <c r="B129" s="316">
        <v>460</v>
      </c>
      <c r="C129" s="32">
        <f>(B129-B128)*100/B128</f>
        <v>29.943502824858758</v>
      </c>
      <c r="D129" s="239">
        <v>3200</v>
      </c>
      <c r="E129" s="32">
        <f t="shared" si="17"/>
        <v>143.75</v>
      </c>
      <c r="F129" s="18">
        <v>1200000</v>
      </c>
      <c r="G129" s="207">
        <f t="shared" si="18"/>
        <v>383.33333333333331</v>
      </c>
      <c r="H129" s="94"/>
      <c r="I129" s="94" t="s">
        <v>25</v>
      </c>
      <c r="J129" s="94"/>
      <c r="O129" s="97" t="s">
        <v>5891</v>
      </c>
      <c r="P129" s="18">
        <v>-11455000</v>
      </c>
      <c r="Q129" s="97">
        <v>14</v>
      </c>
      <c r="R129" s="97">
        <f t="shared" si="15"/>
        <v>34</v>
      </c>
      <c r="S129" s="97">
        <f t="shared" si="16"/>
        <v>-389470000</v>
      </c>
      <c r="T129" s="97"/>
    </row>
    <row r="130" spans="1:22">
      <c r="A130" s="315">
        <v>1392</v>
      </c>
      <c r="B130" s="316">
        <v>640</v>
      </c>
      <c r="C130" s="32">
        <f t="shared" ref="C130:C137" si="19">(B130-B129)*100/B129</f>
        <v>39.130434782608695</v>
      </c>
      <c r="D130" s="239">
        <v>3100</v>
      </c>
      <c r="E130" s="32">
        <f t="shared" si="17"/>
        <v>206.45161290322579</v>
      </c>
      <c r="F130" s="18">
        <v>970000</v>
      </c>
      <c r="G130" s="207">
        <f t="shared" si="18"/>
        <v>659.79381443298973</v>
      </c>
      <c r="H130" s="94"/>
      <c r="I130" s="94" t="s">
        <v>25</v>
      </c>
      <c r="J130" s="94" t="s">
        <v>25</v>
      </c>
      <c r="O130" s="97" t="s">
        <v>6480</v>
      </c>
      <c r="P130" s="18">
        <v>2317100</v>
      </c>
      <c r="Q130" s="97">
        <v>3</v>
      </c>
      <c r="R130" s="97">
        <f t="shared" si="15"/>
        <v>20</v>
      </c>
      <c r="S130" s="97">
        <f t="shared" si="16"/>
        <v>46342000</v>
      </c>
      <c r="T130" s="97"/>
    </row>
    <row r="131" spans="1:22">
      <c r="A131" s="315">
        <v>1393</v>
      </c>
      <c r="B131" s="316">
        <v>782</v>
      </c>
      <c r="C131" s="32">
        <f t="shared" si="19"/>
        <v>22.1875</v>
      </c>
      <c r="D131" s="239">
        <v>3300</v>
      </c>
      <c r="E131" s="32">
        <f t="shared" si="17"/>
        <v>236.96969696969697</v>
      </c>
      <c r="F131" s="18">
        <v>1000000</v>
      </c>
      <c r="G131" s="207">
        <f t="shared" si="18"/>
        <v>782</v>
      </c>
      <c r="H131" s="94" t="s">
        <v>25</v>
      </c>
      <c r="I131" s="94"/>
      <c r="J131" s="94"/>
      <c r="O131" s="97" t="s">
        <v>6488</v>
      </c>
      <c r="P131" s="18">
        <v>699000</v>
      </c>
      <c r="Q131" s="97">
        <v>3</v>
      </c>
      <c r="R131" s="97">
        <f t="shared" si="15"/>
        <v>17</v>
      </c>
      <c r="S131" s="97">
        <f t="shared" si="16"/>
        <v>11883000</v>
      </c>
      <c r="T131" s="97"/>
    </row>
    <row r="132" spans="1:22">
      <c r="A132" s="315">
        <v>1394</v>
      </c>
      <c r="B132" s="316">
        <v>1017</v>
      </c>
      <c r="C132" s="32">
        <f t="shared" si="19"/>
        <v>30.051150895140665</v>
      </c>
      <c r="D132" s="239">
        <v>3500</v>
      </c>
      <c r="E132" s="32">
        <f t="shared" si="17"/>
        <v>290.57142857142856</v>
      </c>
      <c r="F132" s="18">
        <v>1000000</v>
      </c>
      <c r="G132" s="207">
        <f t="shared" si="18"/>
        <v>1017</v>
      </c>
      <c r="H132" s="94"/>
      <c r="I132" s="94" t="s">
        <v>25</v>
      </c>
      <c r="J132" s="94"/>
      <c r="O132" s="97" t="s">
        <v>6494</v>
      </c>
      <c r="P132" s="18">
        <v>-1016100</v>
      </c>
      <c r="Q132" s="97">
        <v>5</v>
      </c>
      <c r="R132" s="97">
        <f t="shared" si="15"/>
        <v>14</v>
      </c>
      <c r="S132" s="97">
        <f t="shared" si="16"/>
        <v>-14225400</v>
      </c>
      <c r="T132" s="97"/>
    </row>
    <row r="133" spans="1:22">
      <c r="A133" s="315">
        <v>1395</v>
      </c>
      <c r="B133" s="316">
        <v>1253</v>
      </c>
      <c r="C133" s="32">
        <f t="shared" si="19"/>
        <v>23.2055063913471</v>
      </c>
      <c r="D133" s="239">
        <v>3800</v>
      </c>
      <c r="E133" s="32">
        <f t="shared" si="17"/>
        <v>329.73684210526318</v>
      </c>
      <c r="F133" s="18">
        <v>1100000</v>
      </c>
      <c r="G133" s="207">
        <f t="shared" si="18"/>
        <v>1139.090909090909</v>
      </c>
      <c r="H133" s="94" t="s">
        <v>25</v>
      </c>
      <c r="I133" s="94" t="s">
        <v>25</v>
      </c>
      <c r="J133" s="94"/>
      <c r="O133" s="97" t="s">
        <v>6503</v>
      </c>
      <c r="P133" s="18">
        <v>-680000</v>
      </c>
      <c r="Q133" s="97">
        <v>3</v>
      </c>
      <c r="R133" s="97">
        <f t="shared" si="15"/>
        <v>9</v>
      </c>
      <c r="S133" s="97">
        <f t="shared" si="16"/>
        <v>-6120000</v>
      </c>
      <c r="T133" s="97"/>
    </row>
    <row r="134" spans="1:22">
      <c r="A134" s="315">
        <v>1396</v>
      </c>
      <c r="B134" s="316">
        <v>1530</v>
      </c>
      <c r="C134" s="32">
        <f t="shared" si="19"/>
        <v>22.106943335993616</v>
      </c>
      <c r="D134" s="239">
        <v>4500</v>
      </c>
      <c r="E134" s="32">
        <f>B134*1000/D134</f>
        <v>340</v>
      </c>
      <c r="F134" s="18">
        <v>1400000</v>
      </c>
      <c r="G134" s="207">
        <f>B134*1000*1000/F134</f>
        <v>1092.8571428571429</v>
      </c>
      <c r="H134" s="94"/>
      <c r="I134" s="94"/>
      <c r="J134" s="94"/>
      <c r="O134" s="97" t="s">
        <v>6504</v>
      </c>
      <c r="P134" s="18">
        <v>-216000</v>
      </c>
      <c r="Q134" s="97">
        <v>3</v>
      </c>
      <c r="R134" s="97">
        <f t="shared" si="15"/>
        <v>6</v>
      </c>
      <c r="S134" s="97">
        <f t="shared" si="16"/>
        <v>-1296000</v>
      </c>
      <c r="T134" s="97"/>
    </row>
    <row r="135" spans="1:22">
      <c r="A135" s="315">
        <v>1397</v>
      </c>
      <c r="B135" s="316">
        <v>1882</v>
      </c>
      <c r="C135" s="32">
        <f t="shared" si="19"/>
        <v>23.006535947712418</v>
      </c>
      <c r="D135" s="239">
        <v>12000</v>
      </c>
      <c r="E135" s="32">
        <f>B135*1000/D135</f>
        <v>156.83333333333334</v>
      </c>
      <c r="F135" s="18">
        <v>4750000</v>
      </c>
      <c r="G135" s="207">
        <f t="shared" ref="G135:G138" si="20">B135*1000*1000/F135</f>
        <v>396.21052631578948</v>
      </c>
      <c r="H135" s="94"/>
      <c r="I135" s="94"/>
      <c r="J135" s="94"/>
      <c r="O135" s="97" t="s">
        <v>6511</v>
      </c>
      <c r="P135" s="18">
        <v>-619000</v>
      </c>
      <c r="Q135" s="97">
        <v>3</v>
      </c>
      <c r="R135" s="97">
        <f>Q135+R139</f>
        <v>3</v>
      </c>
      <c r="S135" s="97">
        <f t="shared" si="16"/>
        <v>-1857000</v>
      </c>
      <c r="T135" s="97"/>
    </row>
    <row r="136" spans="1:22">
      <c r="A136" s="315">
        <v>1398</v>
      </c>
      <c r="B136" s="316">
        <v>2472</v>
      </c>
      <c r="C136" s="32">
        <f t="shared" si="19"/>
        <v>31.349628055260361</v>
      </c>
      <c r="D136" s="239">
        <v>15000</v>
      </c>
      <c r="E136" s="32">
        <f t="shared" ref="E136:E138" si="21">B136*1000/D136</f>
        <v>164.8</v>
      </c>
      <c r="F136" s="18">
        <v>6600000</v>
      </c>
      <c r="G136" s="207">
        <f t="shared" si="20"/>
        <v>374.54545454545456</v>
      </c>
      <c r="O136" s="97" t="s">
        <v>6531</v>
      </c>
      <c r="P136" s="18">
        <v>-485000</v>
      </c>
      <c r="Q136" s="97">
        <v>1</v>
      </c>
      <c r="R136" s="97"/>
      <c r="S136" s="97"/>
      <c r="T136" s="97"/>
      <c r="V136" t="s">
        <v>25</v>
      </c>
    </row>
    <row r="137" spans="1:22">
      <c r="A137" s="315">
        <v>1399</v>
      </c>
      <c r="B137" s="316">
        <v>3350</v>
      </c>
      <c r="C137" s="32">
        <f t="shared" si="19"/>
        <v>35.517799352750806</v>
      </c>
      <c r="D137" s="239">
        <v>25000</v>
      </c>
      <c r="E137" s="32">
        <f t="shared" si="21"/>
        <v>134</v>
      </c>
      <c r="F137" s="18">
        <v>12000000</v>
      </c>
      <c r="G137" s="207">
        <f t="shared" si="20"/>
        <v>279.16666666666669</v>
      </c>
      <c r="O137" s="97"/>
      <c r="P137" s="18"/>
      <c r="Q137" s="97"/>
      <c r="R137" s="97"/>
      <c r="S137" s="97"/>
      <c r="T137" s="97"/>
    </row>
    <row r="138" spans="1:22">
      <c r="A138" s="315">
        <v>1400</v>
      </c>
      <c r="B138" s="316">
        <f>B137*(1+C137/100)</f>
        <v>4539.8462783171526</v>
      </c>
      <c r="C138" s="32">
        <f t="shared" ref="C138" si="22">B138-B137</f>
        <v>1189.8462783171526</v>
      </c>
      <c r="D138" s="239">
        <v>15000</v>
      </c>
      <c r="E138" s="32">
        <f t="shared" si="21"/>
        <v>302.65641855447683</v>
      </c>
      <c r="F138" s="18">
        <v>15000000</v>
      </c>
      <c r="G138" s="207">
        <f t="shared" si="20"/>
        <v>302.65641855447689</v>
      </c>
      <c r="M138" t="s">
        <v>25</v>
      </c>
      <c r="O138" s="97"/>
      <c r="P138" s="18"/>
      <c r="Q138" s="97"/>
      <c r="R138" s="97"/>
      <c r="S138" s="97"/>
      <c r="T138" s="97"/>
    </row>
    <row r="139" spans="1:22">
      <c r="A139" s="94"/>
      <c r="B139" s="94"/>
      <c r="E139" s="94"/>
      <c r="F139" s="94"/>
      <c r="G139" s="94"/>
      <c r="O139" s="97"/>
      <c r="P139" s="18"/>
      <c r="Q139" s="97"/>
      <c r="R139" s="97">
        <f t="shared" si="15"/>
        <v>0</v>
      </c>
      <c r="S139" s="97"/>
      <c r="T139" s="97"/>
    </row>
    <row r="140" spans="1:22">
      <c r="A140" s="94"/>
      <c r="B140" s="94"/>
      <c r="E140" s="94"/>
      <c r="F140" s="94"/>
      <c r="G140" s="94"/>
      <c r="O140" s="97"/>
      <c r="P140" s="18"/>
      <c r="Q140" s="97"/>
      <c r="R140" s="97">
        <f t="shared" si="15"/>
        <v>0</v>
      </c>
      <c r="S140" s="97"/>
      <c r="T140" s="97"/>
    </row>
    <row r="141" spans="1:22">
      <c r="A141" s="94"/>
      <c r="B141" s="94"/>
      <c r="E141" s="94"/>
      <c r="F141" s="94"/>
      <c r="G141" s="94"/>
      <c r="O141" s="97"/>
      <c r="P141" s="18"/>
      <c r="Q141" s="97"/>
      <c r="R141" s="97">
        <f t="shared" si="15"/>
        <v>0</v>
      </c>
      <c r="S141" s="97"/>
      <c r="T141" s="97"/>
    </row>
    <row r="142" spans="1:22">
      <c r="A142" s="94"/>
      <c r="B142" s="94"/>
      <c r="E142" s="94"/>
      <c r="O142" s="97"/>
      <c r="P142" s="18">
        <f>SUM(P28:P141)</f>
        <v>0</v>
      </c>
      <c r="Q142" s="97"/>
      <c r="R142" s="97"/>
      <c r="S142" s="18">
        <f>SUM(S28:S141)</f>
        <v>11488467500</v>
      </c>
      <c r="T142" s="97"/>
    </row>
    <row r="143" spans="1:22">
      <c r="A143" s="94"/>
      <c r="B143" s="94"/>
      <c r="E143" s="94"/>
      <c r="P143" t="s">
        <v>4913</v>
      </c>
    </row>
    <row r="144" spans="1:22">
      <c r="A144" s="94"/>
      <c r="B144" s="94"/>
      <c r="E144" s="94"/>
    </row>
    <row r="145" spans="1:18">
      <c r="A145" s="94"/>
      <c r="B145" s="94"/>
      <c r="E145" s="94"/>
      <c r="O145" t="s">
        <v>6510</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5912</v>
      </c>
      <c r="I161" t="s">
        <v>25</v>
      </c>
    </row>
    <row r="162" spans="4:9">
      <c r="D162" s="18">
        <v>50000000</v>
      </c>
      <c r="E162" s="237" t="s">
        <v>5933</v>
      </c>
    </row>
    <row r="163" spans="4:9">
      <c r="D163" s="18">
        <v>-19100000</v>
      </c>
      <c r="E163" s="237" t="s">
        <v>5932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2"/>
  <sheetViews>
    <sheetView topLeftCell="L166" zoomScale="80" zoomScaleNormal="80" workbookViewId="0">
      <selection activeCell="Q190" sqref="Q19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4827134814.0325642</v>
      </c>
      <c r="M21" s="166" t="s">
        <v>4275</v>
      </c>
      <c r="N21" s="111">
        <f>O21*P21</f>
        <v>2670257340</v>
      </c>
      <c r="O21" s="97">
        <v>2602590</v>
      </c>
      <c r="P21" s="183">
        <f>P50</f>
        <v>1026</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461250</v>
      </c>
      <c r="O22" s="97">
        <v>369</v>
      </c>
      <c r="P22" s="183">
        <f>P54</f>
        <v>1250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5925</v>
      </c>
      <c r="N23" s="111">
        <f>O23*P23</f>
        <v>61202960</v>
      </c>
      <c r="O23" s="97">
        <v>33628</v>
      </c>
      <c r="P23" s="183">
        <f>P51</f>
        <v>1820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4726852248.0325642</v>
      </c>
      <c r="G24" s="93">
        <f t="shared" si="0"/>
        <v>-4446545902.6506252</v>
      </c>
      <c r="H24" s="11"/>
      <c r="I24" s="94"/>
      <c r="J24" s="94"/>
      <c r="K24" s="207"/>
      <c r="L24" s="115"/>
      <c r="M24" s="207" t="s">
        <v>4357</v>
      </c>
      <c r="N24" s="111">
        <f>O24*P24</f>
        <v>35106500</v>
      </c>
      <c r="O24" s="97">
        <v>2455</v>
      </c>
      <c r="P24" s="183">
        <f>P48</f>
        <v>14300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5892</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5936</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5925</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14300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317430036</v>
      </c>
      <c r="O31" s="67">
        <v>309386</v>
      </c>
      <c r="P31" s="97">
        <f>P50</f>
        <v>1026</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-4827134814.0325642</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f>O23+1438</f>
        <v>35066</v>
      </c>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6479</v>
      </c>
      <c r="L41" s="115">
        <f>-13649*P50</f>
        <v>-14003874</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6487</v>
      </c>
      <c r="L42" s="115">
        <f>(548)*P50</f>
        <v>562248</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-13441626</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6530</v>
      </c>
      <c r="N44" s="115">
        <f>O44*P44</f>
        <v>37326906</v>
      </c>
      <c r="O44" s="67">
        <v>36381</v>
      </c>
      <c r="P44" s="67">
        <f>P50</f>
        <v>1026</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5887</v>
      </c>
      <c r="N45" s="115">
        <f>O45*P45</f>
        <v>79600000</v>
      </c>
      <c r="O45" s="67">
        <v>199000</v>
      </c>
      <c r="P45" s="67">
        <v>400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6505</v>
      </c>
      <c r="N46" s="115">
        <f>O46*P46</f>
        <v>2400000</v>
      </c>
      <c r="O46" s="67">
        <v>8000</v>
      </c>
      <c r="P46" s="67">
        <v>300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6" si="26">O47*P47</f>
        <v>0</v>
      </c>
      <c r="O47" s="67">
        <v>0</v>
      </c>
      <c r="P47" s="67">
        <v>200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20520000</v>
      </c>
      <c r="M48" s="19" t="s">
        <v>4357</v>
      </c>
      <c r="N48" s="115">
        <f t="shared" si="26"/>
        <v>6535100</v>
      </c>
      <c r="O48" s="67">
        <v>457</v>
      </c>
      <c r="P48" s="67">
        <v>14300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4361</v>
      </c>
      <c r="N49" s="115">
        <f t="shared" si="26"/>
        <v>0</v>
      </c>
      <c r="O49" s="67">
        <v>0</v>
      </c>
      <c r="P49" s="67">
        <v>20500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6534</v>
      </c>
      <c r="L50" s="115">
        <v>436159</v>
      </c>
      <c r="M50" s="19" t="s">
        <v>4159</v>
      </c>
      <c r="N50" s="111">
        <f>O50*P50</f>
        <v>4490872794</v>
      </c>
      <c r="O50" s="97">
        <v>4377069</v>
      </c>
      <c r="P50" s="97">
        <v>1026</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5925</v>
      </c>
      <c r="N51" s="111">
        <f>O51*P51</f>
        <v>45854900</v>
      </c>
      <c r="O51" s="97">
        <v>25195</v>
      </c>
      <c r="P51" s="97">
        <v>1820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5892</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5879</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140336250</v>
      </c>
      <c r="O54" s="97">
        <v>112269</v>
      </c>
      <c r="P54" s="97">
        <v>1250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1005000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71" t="s">
        <v>5068</v>
      </c>
      <c r="N56" s="115">
        <f t="shared" si="26"/>
        <v>0</v>
      </c>
      <c r="O56" s="67">
        <v>0</v>
      </c>
      <c r="P56" s="67">
        <v>21000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J57" s="112"/>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5787</v>
      </c>
      <c r="S62" s="194">
        <f>S61-2</f>
        <v>121</v>
      </c>
      <c r="T62" s="207" t="s">
        <v>5929</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-W167</f>
        <v>-89786186.928431496</v>
      </c>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5891</v>
      </c>
      <c r="S64" s="194">
        <f>S63-29</f>
        <v>28</v>
      </c>
      <c r="T64" s="207" t="s">
        <v>5893</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5909</v>
      </c>
      <c r="S65" s="194">
        <f>S64-3</f>
        <v>25</v>
      </c>
      <c r="T65" s="207" t="s">
        <v>5911</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2966680638.0390043</v>
      </c>
      <c r="P66" t="s">
        <v>25</v>
      </c>
      <c r="Q66" s="167"/>
      <c r="R66" s="207" t="s">
        <v>5926</v>
      </c>
      <c r="S66" s="194">
        <f>S65-3</f>
        <v>22</v>
      </c>
      <c r="T66" s="207" t="s">
        <v>5928</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4726852248.0325642</v>
      </c>
      <c r="M67" s="166"/>
      <c r="N67" s="111">
        <f>N16+N17+N35</f>
        <v>641053</v>
      </c>
      <c r="P67" t="s">
        <v>25</v>
      </c>
      <c r="Q67" s="167"/>
      <c r="R67" s="207" t="s">
        <v>6461</v>
      </c>
      <c r="S67" s="194">
        <f>S66-5</f>
        <v>17</v>
      </c>
      <c r="T67" s="207" t="s">
        <v>6462</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6465</v>
      </c>
      <c r="S68" s="194">
        <f>S67-1</f>
        <v>16</v>
      </c>
      <c r="T68" s="207" t="s">
        <v>6484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4826852248.0325642</v>
      </c>
      <c r="O69" s="94"/>
      <c r="P69" s="120" t="s">
        <v>25</v>
      </c>
      <c r="Q69" s="167"/>
      <c r="R69" s="207" t="s">
        <v>6465</v>
      </c>
      <c r="S69" s="194">
        <f>S68</f>
        <v>16</v>
      </c>
      <c r="T69" s="207" t="s">
        <v>6467</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6470</v>
      </c>
      <c r="S70" s="194">
        <f>S69-1</f>
        <v>15</v>
      </c>
      <c r="T70" s="207" t="s">
        <v>6476</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6480</v>
      </c>
      <c r="S71" s="194">
        <f>S70-1</f>
        <v>14</v>
      </c>
      <c r="T71" s="207" t="s">
        <v>6485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6465</v>
      </c>
      <c r="P72" s="113"/>
      <c r="Q72" s="167"/>
      <c r="R72" s="207" t="s">
        <v>6480</v>
      </c>
      <c r="S72" s="194">
        <f>S71</f>
        <v>14</v>
      </c>
      <c r="T72" s="207" t="s">
        <v>6486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6468</v>
      </c>
      <c r="Q73" s="167"/>
      <c r="R73" s="207" t="s">
        <v>6488</v>
      </c>
      <c r="S73" s="194">
        <f>S72-3</f>
        <v>11</v>
      </c>
      <c r="T73" s="207" t="s">
        <v>6489</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6469</v>
      </c>
      <c r="Q74" s="167"/>
      <c r="R74" s="207" t="s">
        <v>6490</v>
      </c>
      <c r="S74" s="194">
        <f>S73-1</f>
        <v>10</v>
      </c>
      <c r="T74" s="207" t="s">
        <v>6491</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6475</v>
      </c>
      <c r="Q75" s="167"/>
      <c r="R75" s="207" t="s">
        <v>6492</v>
      </c>
      <c r="S75" s="194">
        <f>S74-1</f>
        <v>9</v>
      </c>
      <c r="T75" s="207" t="s">
        <v>6493</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6495</v>
      </c>
      <c r="S76" s="194">
        <f>S75-2</f>
        <v>7</v>
      </c>
      <c r="T76" s="207" t="s">
        <v>6496</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6495</v>
      </c>
      <c r="S77" s="194">
        <f>S76</f>
        <v>7</v>
      </c>
      <c r="T77" s="207" t="s">
        <v>6497</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962431232.67580938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6470</v>
      </c>
      <c r="S104" s="194">
        <f>S103-41</f>
        <v>15</v>
      </c>
      <c r="T104" s="187" t="s">
        <v>6477</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9795.3216374269014</v>
      </c>
      <c r="G108" s="196">
        <f>P50</f>
        <v>1026</v>
      </c>
      <c r="H108" s="196" t="s">
        <v>4704</v>
      </c>
      <c r="I108" s="196" t="s">
        <v>5299</v>
      </c>
      <c r="J108" s="208" t="s">
        <v>4219</v>
      </c>
      <c r="K108" s="196">
        <v>210</v>
      </c>
      <c r="L108" s="209">
        <f t="shared" ref="L108:L113" si="40">K108*$L$116</f>
        <v>2110500000</v>
      </c>
      <c r="M108" s="209">
        <f>N21+N31+N50+N44</f>
        <v>7515887076</v>
      </c>
      <c r="N108" s="181">
        <f t="shared" ref="N108:N113" si="41">L108-M108</f>
        <v>-5405387076</v>
      </c>
      <c r="P108" s="94"/>
      <c r="Q108" s="111">
        <f>SUM(N28:N31)-SUM(Q87:Q107)</f>
        <v>336469458.7462979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20500</v>
      </c>
      <c r="H109" s="207" t="s">
        <v>4863</v>
      </c>
      <c r="I109" s="207" t="s">
        <v>5300</v>
      </c>
      <c r="J109" s="32" t="s">
        <v>4361</v>
      </c>
      <c r="K109" s="207">
        <v>33</v>
      </c>
      <c r="L109" s="1">
        <f t="shared" si="40"/>
        <v>331650000</v>
      </c>
      <c r="M109" s="1">
        <f>N49+N28+N22</f>
        <v>33069290</v>
      </c>
      <c r="N109" s="111">
        <f t="shared" si="41"/>
        <v>298580710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14300</v>
      </c>
      <c r="H110" s="196" t="s">
        <v>4979</v>
      </c>
      <c r="I110" s="196" t="s">
        <v>5301</v>
      </c>
      <c r="J110" s="208" t="s">
        <v>4357</v>
      </c>
      <c r="K110" s="196">
        <v>0</v>
      </c>
      <c r="L110" s="209">
        <f t="shared" si="40"/>
        <v>0</v>
      </c>
      <c r="M110" s="209">
        <f>N48+N24</f>
        <v>41641600</v>
      </c>
      <c r="N110" s="181">
        <f t="shared" si="41"/>
        <v>-41641600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10050000</v>
      </c>
      <c r="M112" s="209">
        <v>0</v>
      </c>
      <c r="N112" s="181">
        <f t="shared" si="41"/>
        <v>10050000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507</v>
      </c>
      <c r="L113" s="240">
        <f t="shared" si="40"/>
        <v>5095350000</v>
      </c>
      <c r="M113" s="240">
        <v>0</v>
      </c>
      <c r="N113" s="84">
        <f t="shared" si="41"/>
        <v>5095350000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33441626</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751</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10050000</v>
      </c>
      <c r="M116" s="1">
        <f>K116*L116</f>
        <v>0</v>
      </c>
      <c r="N116" s="111">
        <f>SUM(N108:N114)-M116</f>
        <v>-9972549</v>
      </c>
      <c r="P116" s="112"/>
      <c r="Q116" s="35">
        <v>38474780.062005915</v>
      </c>
      <c r="R116" s="5" t="s">
        <v>4152</v>
      </c>
      <c r="S116" s="5">
        <v>956</v>
      </c>
      <c r="T116" s="5" t="s">
        <v>5587</v>
      </c>
      <c r="U116" s="166">
        <v>192</v>
      </c>
      <c r="V116" s="97">
        <f t="shared" ref="V116:V151"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1026</v>
      </c>
      <c r="H126" s="97" t="s">
        <v>4219</v>
      </c>
      <c r="I126" s="97">
        <v>51250</v>
      </c>
      <c r="J126" s="1">
        <f>I126*G126</f>
        <v>52582500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14300</v>
      </c>
      <c r="H127" s="97" t="s">
        <v>4357</v>
      </c>
      <c r="I127" s="97">
        <v>6709</v>
      </c>
      <c r="J127" s="1">
        <f>I127*G127</f>
        <v>95938700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18521200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6504</v>
      </c>
      <c r="I138" s="210" t="s">
        <v>5706</v>
      </c>
      <c r="J138" s="1">
        <v>150000000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1026</v>
      </c>
      <c r="H139" s="207" t="s">
        <v>4219</v>
      </c>
      <c r="I139" s="207">
        <v>20000</v>
      </c>
      <c r="J139" s="1">
        <f>G139*I139</f>
        <v>20520000</v>
      </c>
      <c r="Q139" s="167"/>
      <c r="R139" s="207" t="s">
        <v>5832</v>
      </c>
      <c r="S139" s="207">
        <f>S138-9</f>
        <v>58</v>
      </c>
      <c r="T139" s="207" t="s">
        <v>6533</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2"/>
        <v>12545433214</v>
      </c>
      <c r="AN139" s="119" t="s">
        <v>4628</v>
      </c>
      <c r="AQ139" t="s">
        <v>25</v>
      </c>
    </row>
    <row r="140" spans="6:43">
      <c r="G140" s="1"/>
      <c r="H140" s="207"/>
      <c r="I140" s="207"/>
      <c r="J140" s="1">
        <f>G140*I140</f>
        <v>0</v>
      </c>
      <c r="P140" t="s">
        <v>25</v>
      </c>
      <c r="Q140" s="167"/>
      <c r="R140" s="207" t="s">
        <v>5872</v>
      </c>
      <c r="S140" s="207">
        <f>S139-9</f>
        <v>49</v>
      </c>
      <c r="T140" s="207" t="s">
        <v>6519</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5886</v>
      </c>
      <c r="S141" s="207">
        <f>S140-17</f>
        <v>32</v>
      </c>
      <c r="T141" s="207" t="s">
        <v>6464</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-129480000</v>
      </c>
      <c r="J142" s="1">
        <f>SUM(J139:J140)</f>
        <v>20520000</v>
      </c>
      <c r="K142" t="s">
        <v>25</v>
      </c>
      <c r="Q142" s="167"/>
      <c r="R142" s="207" t="s">
        <v>5888</v>
      </c>
      <c r="S142" s="207">
        <f>S141-1</f>
        <v>31</v>
      </c>
      <c r="T142" s="207" t="s">
        <v>5889</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5926</v>
      </c>
      <c r="S143" s="207">
        <f>S142-9</f>
        <v>22</v>
      </c>
      <c r="T143" s="207" t="s">
        <v>5927</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2"/>
        <v>411000000</v>
      </c>
      <c r="AN143" s="20"/>
    </row>
    <row r="144" spans="6:43">
      <c r="J144" s="94"/>
      <c r="P144" t="s">
        <v>25</v>
      </c>
      <c r="Q144" s="167"/>
      <c r="R144" s="207" t="s">
        <v>6465</v>
      </c>
      <c r="S144" s="207">
        <f>S143-6</f>
        <v>16</v>
      </c>
      <c r="T144" s="207" t="s">
        <v>6466</v>
      </c>
      <c r="U144" s="207">
        <v>1973</v>
      </c>
      <c r="V144" s="97">
        <f t="shared" si="42"/>
        <v>2027.2061479452057</v>
      </c>
      <c r="W144" s="32">
        <f t="shared" ref="W144:W156" si="59">V144*(1+$W$19/100)</f>
        <v>2067.7502709041096</v>
      </c>
      <c r="X144" s="32">
        <f t="shared" ref="X144:X156" si="60">V144*(1+$X$19/100)</f>
        <v>2108.2943938630137</v>
      </c>
      <c r="Y144" s="94"/>
      <c r="Z144" s="94"/>
      <c r="AA144" s="94"/>
      <c r="AH144" s="20">
        <v>124</v>
      </c>
      <c r="AI144" s="115" t="s">
        <v>4738</v>
      </c>
      <c r="AJ144" s="115">
        <v>30000</v>
      </c>
      <c r="AK144" s="20">
        <v>3</v>
      </c>
      <c r="AL144" s="20">
        <f t="shared" si="58"/>
        <v>684</v>
      </c>
      <c r="AM144" s="115">
        <f t="shared" si="52"/>
        <v>20520000</v>
      </c>
      <c r="AN144" s="20"/>
    </row>
    <row r="145" spans="5:44">
      <c r="K145" s="94"/>
      <c r="L145" s="94"/>
      <c r="M145" s="94"/>
      <c r="Q145" s="167"/>
      <c r="R145" s="207" t="s">
        <v>6470</v>
      </c>
      <c r="S145" s="207">
        <f>S144-1</f>
        <v>15</v>
      </c>
      <c r="T145" s="207" t="s">
        <v>6478</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6480</v>
      </c>
      <c r="S146" s="207">
        <f>S145-1</f>
        <v>14</v>
      </c>
      <c r="T146" s="207" t="s">
        <v>6481</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O21+O31+O50+I139</f>
        <v>7309045</v>
      </c>
      <c r="H147" s="32" t="s">
        <v>5458</v>
      </c>
      <c r="I147" s="32">
        <f>O22+O28+O49+I140+O44</f>
        <v>63610</v>
      </c>
      <c r="J147" s="112"/>
      <c r="K147" s="94"/>
      <c r="L147" s="94"/>
      <c r="M147" s="94"/>
      <c r="Q147" s="167"/>
      <c r="R147" s="207" t="s">
        <v>6480</v>
      </c>
      <c r="S147" s="207">
        <f>S146</f>
        <v>14</v>
      </c>
      <c r="T147" s="207" t="s">
        <v>6482</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109198.63157894737</v>
      </c>
      <c r="H148" s="280" t="s">
        <v>5459</v>
      </c>
      <c r="I148" s="32">
        <f>(J139+N30+N50+N48+N31+N24+N21)/P49</f>
        <v>367840.08634146344</v>
      </c>
      <c r="J148" s="112"/>
      <c r="K148" s="94"/>
      <c r="L148" s="94" t="s">
        <v>25</v>
      </c>
      <c r="M148" s="94"/>
      <c r="P148" s="112"/>
      <c r="Q148" s="167"/>
      <c r="R148" s="207" t="s">
        <v>6504</v>
      </c>
      <c r="S148" s="207">
        <f>S147-14</f>
        <v>0</v>
      </c>
      <c r="T148" s="207" t="s">
        <v>6536</v>
      </c>
      <c r="U148" s="207">
        <v>260</v>
      </c>
      <c r="V148" s="97">
        <f t="shared" si="42"/>
        <v>263.952</v>
      </c>
      <c r="W148" s="32">
        <f t="shared" si="59"/>
        <v>269.23104000000001</v>
      </c>
      <c r="X148" s="32">
        <f t="shared" si="60"/>
        <v>274.51008000000002</v>
      </c>
      <c r="Y148" s="94"/>
      <c r="Z148" s="94"/>
      <c r="AA148" s="94" t="s">
        <v>25</v>
      </c>
      <c r="AB148" s="94"/>
      <c r="AH148" s="97">
        <v>128</v>
      </c>
      <c r="AI148" s="111" t="s">
        <v>4765</v>
      </c>
      <c r="AJ148" s="111">
        <v>20000</v>
      </c>
      <c r="AK148" s="97">
        <v>10</v>
      </c>
      <c r="AL148" s="20">
        <f t="shared" si="58"/>
        <v>670</v>
      </c>
      <c r="AM148" s="115">
        <f>AJ148*AL148</f>
        <v>13400000</v>
      </c>
      <c r="AN148" s="20"/>
      <c r="AP148" t="s">
        <v>25</v>
      </c>
    </row>
    <row r="149" spans="5:44">
      <c r="G149" s="32">
        <f>G147+G148</f>
        <v>7418243.6315789474</v>
      </c>
      <c r="H149" s="32" t="s">
        <v>5460</v>
      </c>
      <c r="I149" s="32">
        <f>I147+I148</f>
        <v>431450.08634146344</v>
      </c>
      <c r="J149" s="112"/>
      <c r="K149" s="94"/>
      <c r="L149" s="94"/>
      <c r="N149" s="94"/>
      <c r="O149" s="94"/>
      <c r="Q149" s="167"/>
      <c r="R149" s="207" t="s">
        <v>6504</v>
      </c>
      <c r="S149" s="207">
        <f>S148</f>
        <v>0</v>
      </c>
      <c r="T149" s="207" t="s">
        <v>6506</v>
      </c>
      <c r="U149" s="207">
        <v>360</v>
      </c>
      <c r="V149" s="97">
        <f t="shared" si="42"/>
        <v>365.47200000000004</v>
      </c>
      <c r="W149" s="32">
        <f t="shared" si="59"/>
        <v>372.78144000000003</v>
      </c>
      <c r="X149" s="32">
        <f t="shared" si="60"/>
        <v>380.09088000000003</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(W167+W168)/P50</f>
        <v>364378.00987937202</v>
      </c>
      <c r="H150" s="32" t="s">
        <v>5436</v>
      </c>
      <c r="I150" s="32">
        <f>(W167+W168)/P49</f>
        <v>18236.675031035888</v>
      </c>
      <c r="J150" s="112"/>
      <c r="K150" s="94"/>
      <c r="L150" s="94"/>
      <c r="M150" s="94"/>
      <c r="N150" s="94"/>
      <c r="O150" s="94"/>
      <c r="Q150" s="167"/>
      <c r="R150" s="207" t="s">
        <v>6512</v>
      </c>
      <c r="S150" s="207">
        <f>S149-4</f>
        <v>-4</v>
      </c>
      <c r="T150" s="207" t="s">
        <v>6518</v>
      </c>
      <c r="U150" s="207">
        <v>300</v>
      </c>
      <c r="V150" s="97">
        <f t="shared" si="42"/>
        <v>303.6394520547945</v>
      </c>
      <c r="W150" s="32">
        <f t="shared" si="59"/>
        <v>309.71224109589042</v>
      </c>
      <c r="X150" s="32">
        <f t="shared" si="60"/>
        <v>315.78503013698628</v>
      </c>
      <c r="Y150" s="94"/>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W165/P50</f>
        <v>2686969.5056834309</v>
      </c>
      <c r="H151" s="32" t="s">
        <v>481</v>
      </c>
      <c r="I151" s="32">
        <f>W165/P49</f>
        <v>134479.54696737562</v>
      </c>
      <c r="J151" s="112"/>
      <c r="K151" s="94"/>
      <c r="L151" s="94"/>
      <c r="N151" s="94"/>
      <c r="O151" s="94"/>
      <c r="Q151" s="167"/>
      <c r="R151" s="207" t="s">
        <v>6531</v>
      </c>
      <c r="S151" s="207">
        <f>S150-2</f>
        <v>-6</v>
      </c>
      <c r="T151" s="207" t="s">
        <v>6532</v>
      </c>
      <c r="U151" s="207">
        <v>1009</v>
      </c>
      <c r="V151" s="97">
        <f t="shared" si="42"/>
        <v>1019.6926356164386</v>
      </c>
      <c r="W151" s="32">
        <f t="shared" si="59"/>
        <v>1040.0864883287672</v>
      </c>
      <c r="X151" s="32">
        <f t="shared" si="60"/>
        <v>1060.4803410410962</v>
      </c>
      <c r="Y151" s="94">
        <v>15063</v>
      </c>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4366896.1160161439</v>
      </c>
      <c r="H152" s="32" t="s">
        <v>5</v>
      </c>
      <c r="I152" s="32">
        <f>I149-I150-I151</f>
        <v>278733.86434305192</v>
      </c>
      <c r="J152" s="112"/>
      <c r="K152" s="94"/>
      <c r="L152" s="94"/>
      <c r="M152" t="s">
        <v>25</v>
      </c>
      <c r="N152" s="94"/>
      <c r="O152" s="94"/>
      <c r="Q152" s="167"/>
      <c r="R152" s="207" t="s">
        <v>6537</v>
      </c>
      <c r="S152" s="207">
        <f>S151-4</f>
        <v>-10</v>
      </c>
      <c r="T152" s="207" t="s">
        <v>6538</v>
      </c>
      <c r="U152" s="207">
        <v>1036</v>
      </c>
      <c r="V152" s="97">
        <f>U152*(1+$R$112+$Q$15*S152/36500)</f>
        <v>1043.7998027397261</v>
      </c>
      <c r="W152" s="32">
        <f t="shared" si="59"/>
        <v>1064.6757987945207</v>
      </c>
      <c r="X152" s="32">
        <f t="shared" si="60"/>
        <v>1085.5517948493152</v>
      </c>
      <c r="Y152" s="94">
        <v>3000</v>
      </c>
      <c r="Z152" s="94" t="s">
        <v>25</v>
      </c>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t="s">
        <v>6539</v>
      </c>
      <c r="S153" s="207">
        <f>S152-1</f>
        <v>-11</v>
      </c>
      <c r="T153" s="207" t="s">
        <v>6540</v>
      </c>
      <c r="U153" s="207">
        <v>1008</v>
      </c>
      <c r="V153" s="97">
        <f>U153*(1+$R$112+$Q$15*S153/36500)</f>
        <v>1014.8157369863015</v>
      </c>
      <c r="W153" s="32">
        <f t="shared" si="59"/>
        <v>1035.1120517260276</v>
      </c>
      <c r="X153" s="32">
        <f t="shared" si="60"/>
        <v>1055.4083664657537</v>
      </c>
      <c r="Y153" s="94">
        <v>6000</v>
      </c>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c r="W154" s="32"/>
      <c r="X154" s="32"/>
      <c r="Y154" s="94"/>
      <c r="Z154" s="94"/>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P156" s="112"/>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11">
        <f>SUM(N44:N55)-SUM(Q116:Q156)</f>
        <v>2925210931.36867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v>42839</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Q161" t="s">
        <v>25</v>
      </c>
      <c r="R161" s="32">
        <v>2465</v>
      </c>
      <c r="S161" s="1">
        <f>S160*R161/R160</f>
        <v>8753635.7227644529</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R162" s="32">
        <f>R160-R161</f>
        <v>40374</v>
      </c>
      <c r="S162" s="1">
        <f>R162*S160/R160</f>
        <v>143374964.97804949</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c r="R165" s="94"/>
      <c r="S165" s="94" t="s">
        <v>25</v>
      </c>
      <c r="T165" s="120">
        <f>V166-V171</f>
        <v>2614258</v>
      </c>
      <c r="U165" s="285" t="s">
        <v>744</v>
      </c>
      <c r="V165" s="285">
        <v>1493032</v>
      </c>
      <c r="W165" s="88">
        <f>V165*$T$505</f>
        <v>2756830712.8312001</v>
      </c>
      <c r="X165">
        <f>W165*100/$W$171</f>
        <v>34.643050806321185</v>
      </c>
      <c r="Y165" t="s">
        <v>25</v>
      </c>
      <c r="Z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T166" s="120"/>
      <c r="U166" s="285" t="s">
        <v>4410</v>
      </c>
      <c r="V166" s="285">
        <v>2614258</v>
      </c>
      <c r="W166" s="88">
        <f>V166*$T$505</f>
        <v>4827134814.0325642</v>
      </c>
      <c r="X166" s="94">
        <f>W166*100/$W$171</f>
        <v>60.659029890070414</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Q167" t="s">
        <v>25</v>
      </c>
      <c r="T167" s="94">
        <f>V165-V171</f>
        <v>1493032</v>
      </c>
      <c r="U167" s="285" t="s">
        <v>4409</v>
      </c>
      <c r="V167" s="285">
        <v>48626</v>
      </c>
      <c r="W167" s="88">
        <f>V167*$T$505</f>
        <v>89786186.928431496</v>
      </c>
      <c r="X167" s="94">
        <f>W167*100/$W$171</f>
        <v>1.1282765463219637</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c r="U168" s="285" t="s">
        <v>1071</v>
      </c>
      <c r="V168" s="285">
        <v>153843</v>
      </c>
      <c r="W168" s="88">
        <f>V168*$T$505</f>
        <v>284065651.2078042</v>
      </c>
      <c r="X168" s="94">
        <f>W168*100/$W$171</f>
        <v>3.5696427572864282</v>
      </c>
      <c r="Z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N170" s="112"/>
      <c r="O170" s="112"/>
      <c r="P170" s="112"/>
      <c r="Q170" t="s">
        <v>25</v>
      </c>
      <c r="S170" t="s">
        <v>25</v>
      </c>
      <c r="T170" s="94" t="s">
        <v>25</v>
      </c>
      <c r="U170" s="87"/>
      <c r="V170" s="87">
        <f>SUM(V165:V168)</f>
        <v>4309759</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O171" s="112"/>
      <c r="P171" s="112"/>
      <c r="Q171" s="94" t="s">
        <v>25</v>
      </c>
      <c r="R171" s="94"/>
      <c r="S171" s="94" t="s">
        <v>25</v>
      </c>
      <c r="T171" s="94" t="s">
        <v>25</v>
      </c>
      <c r="U171" s="87"/>
      <c r="V171" s="87">
        <f>V170-U502</f>
        <v>0</v>
      </c>
      <c r="W171" s="140">
        <f>SUM(W165:W168)</f>
        <v>7957817365</v>
      </c>
      <c r="X171" s="94"/>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c r="R172" s="94"/>
      <c r="S172" s="94"/>
      <c r="T172" s="94" t="s">
        <v>25</v>
      </c>
      <c r="U172" s="87"/>
      <c r="V172" s="87" t="s">
        <v>5867</v>
      </c>
      <c r="W172" s="140">
        <f>R183-W168</f>
        <v>85316840.792195797</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t="s">
        <v>25</v>
      </c>
      <c r="R173" s="94"/>
      <c r="S173" s="94"/>
      <c r="T173" s="94" t="s">
        <v>25</v>
      </c>
      <c r="U173" s="87"/>
      <c r="V173" s="87" t="s">
        <v>5866</v>
      </c>
      <c r="W173" s="140">
        <f>W167-W172</f>
        <v>4469346.1362356991</v>
      </c>
      <c r="X173" s="94"/>
      <c r="Z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c r="U174" s="87"/>
      <c r="V174" s="87" t="s">
        <v>4931</v>
      </c>
      <c r="W174" s="140">
        <f>W165+W173-R182</f>
        <v>-5727991.0325641632</v>
      </c>
      <c r="X174" s="94"/>
      <c r="Y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P181" s="112"/>
      <c r="Q181" s="36" t="s">
        <v>4515</v>
      </c>
      <c r="R181" s="93">
        <f>SUM(N44:N55)</f>
        <v>4802927950</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97" t="s">
        <v>4411</v>
      </c>
      <c r="R182" s="93">
        <f>SUM(N21:N25)</f>
        <v>2767028050</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4412</v>
      </c>
      <c r="R183" s="93">
        <f>SUM(N28:N31)</f>
        <v>369382492</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4413</v>
      </c>
      <c r="R184" s="93">
        <f>N42</f>
        <v>364600</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6541</v>
      </c>
      <c r="R189" s="93">
        <v>6078664</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5492</v>
      </c>
      <c r="H191" s="1">
        <v>5745697.3157000002</v>
      </c>
      <c r="P191" s="112" t="s">
        <v>25</v>
      </c>
      <c r="Q191" s="36" t="s">
        <v>6483</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t="s">
        <v>25</v>
      </c>
      <c r="Q192" s="36" t="s">
        <v>6535</v>
      </c>
      <c r="R192" s="93">
        <v>5760000</v>
      </c>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ht="30">
      <c r="G193" s="207" t="s">
        <v>5494</v>
      </c>
      <c r="H193" s="1">
        <v>12642697.648548001</v>
      </c>
      <c r="O193" t="s">
        <v>25</v>
      </c>
      <c r="P193" s="112"/>
      <c r="Q193" s="36" t="s">
        <v>6507</v>
      </c>
      <c r="R193" s="93">
        <v>3100000</v>
      </c>
      <c r="S193" s="94"/>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5495</v>
      </c>
      <c r="H194" s="1">
        <v>12297318</v>
      </c>
      <c r="I194" t="s">
        <v>25</v>
      </c>
      <c r="P194" s="112"/>
      <c r="Q194" s="97" t="s">
        <v>6508</v>
      </c>
      <c r="R194" s="93">
        <f>-1000*P50</f>
        <v>-1026000</v>
      </c>
      <c r="S194" s="94"/>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5496</v>
      </c>
      <c r="H195" s="1">
        <v>8959644</v>
      </c>
      <c r="Q195" s="36" t="s">
        <v>6520</v>
      </c>
      <c r="R195" s="93">
        <v>37200000</v>
      </c>
      <c r="S195" s="94"/>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36" t="s">
        <v>6521</v>
      </c>
      <c r="R196" s="93">
        <f>-98000*P45</f>
        <v>-39200000</v>
      </c>
      <c r="S196" s="94"/>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36"/>
      <c r="R197" s="93"/>
      <c r="S197" s="94"/>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t="s">
        <v>25</v>
      </c>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20"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c r="R200" s="93"/>
      <c r="S200" s="113"/>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7" t="s">
        <v>5063</v>
      </c>
      <c r="R201" s="93">
        <v>0</v>
      </c>
      <c r="S201" s="113"/>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Q202" s="97"/>
      <c r="R202" s="93"/>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97"/>
      <c r="R203" s="93"/>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97" t="s">
        <v>4419</v>
      </c>
      <c r="R204" s="93">
        <f>SUM(R181:R203)</f>
        <v>7957817365</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94"/>
      <c r="S205" s="207"/>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S206" s="207" t="s">
        <v>267</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t="s">
        <v>8</v>
      </c>
      <c r="R207" s="207" t="s">
        <v>4409</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71" t="s">
        <v>180</v>
      </c>
      <c r="S208" s="111">
        <v>2000000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4402</v>
      </c>
      <c r="S209" s="111">
        <v>1000000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4448</v>
      </c>
      <c r="S210" s="111">
        <v>2000000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c r="R211" s="207" t="s">
        <v>4456</v>
      </c>
      <c r="S211" s="111">
        <v>3000000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c r="R212" s="207" t="s">
        <v>4460</v>
      </c>
      <c r="S212" s="111">
        <v>3000000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c r="R213" s="207" t="s">
        <v>979</v>
      </c>
      <c r="S213" s="111">
        <v>-800000</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207"/>
      <c r="R214" s="207" t="s">
        <v>4587</v>
      </c>
      <c r="S214" s="111">
        <v>-900000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207" t="s">
        <v>4754</v>
      </c>
      <c r="R215" s="207" t="s">
        <v>4749</v>
      </c>
      <c r="S215" s="111">
        <v>-1100000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207" t="s">
        <v>4755</v>
      </c>
      <c r="R216" s="207" t="s">
        <v>4749</v>
      </c>
      <c r="S216" s="193">
        <v>30000000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207" t="s">
        <v>4755</v>
      </c>
      <c r="R217" s="207" t="s">
        <v>966</v>
      </c>
      <c r="S217" s="115">
        <v>2000000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88" t="s">
        <v>1071</v>
      </c>
      <c r="R218" s="188" t="s">
        <v>4778</v>
      </c>
      <c r="S218" s="186">
        <v>480105</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9" t="s">
        <v>4858</v>
      </c>
      <c r="R219" s="19" t="s">
        <v>4856</v>
      </c>
      <c r="S219" s="186">
        <v>30500000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87" t="s">
        <v>4879</v>
      </c>
      <c r="R220" s="187" t="s">
        <v>4878</v>
      </c>
      <c r="S220" s="115">
        <v>-400000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87"/>
      <c r="R221" s="187" t="s">
        <v>4919</v>
      </c>
      <c r="S221" s="186">
        <v>-349550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4944</v>
      </c>
      <c r="S222" s="115">
        <v>-200000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87" t="s">
        <v>5058</v>
      </c>
      <c r="R223" s="187" t="s">
        <v>4979</v>
      </c>
      <c r="S223" s="115">
        <v>-122000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4949</v>
      </c>
      <c r="R224" s="19" t="s">
        <v>5119</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9" t="s">
        <v>4949</v>
      </c>
      <c r="R225" s="19" t="s">
        <v>5151</v>
      </c>
      <c r="S225" s="115">
        <v>-60000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4949</v>
      </c>
      <c r="R226" s="19" t="s">
        <v>5159</v>
      </c>
      <c r="S226" s="115">
        <v>700000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19" t="s">
        <v>4949</v>
      </c>
      <c r="R227" s="19" t="s">
        <v>5169</v>
      </c>
      <c r="S227" s="186">
        <v>40000000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9" t="s">
        <v>4409</v>
      </c>
      <c r="R228" s="19" t="s">
        <v>5228</v>
      </c>
      <c r="S228" s="115">
        <v>-800000</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1071</v>
      </c>
      <c r="R229" s="187" t="s">
        <v>5247</v>
      </c>
      <c r="S229" s="115">
        <v>700000</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9" t="s">
        <v>4409</v>
      </c>
      <c r="R230" s="19" t="s">
        <v>5251</v>
      </c>
      <c r="S230" s="186">
        <v>-26000000</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207" t="s">
        <v>4409</v>
      </c>
      <c r="R231" s="207" t="s">
        <v>5334</v>
      </c>
      <c r="S231" s="186">
        <v>-95900000</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5351</v>
      </c>
      <c r="R232" s="187" t="s">
        <v>5349</v>
      </c>
      <c r="S232" s="186">
        <v>-28950000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87" t="s">
        <v>5351</v>
      </c>
      <c r="R233" s="187" t="s">
        <v>5353</v>
      </c>
      <c r="S233" s="186">
        <v>1896188</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5351</v>
      </c>
      <c r="R234" s="187" t="s">
        <v>5354</v>
      </c>
      <c r="S234" s="186">
        <v>13752871.322800001</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5662</v>
      </c>
      <c r="H235" s="111">
        <v>14951411.942400001</v>
      </c>
      <c r="Q235" s="187" t="s">
        <v>5370</v>
      </c>
      <c r="R235" s="187" t="s">
        <v>5368</v>
      </c>
      <c r="S235" s="115">
        <v>3123901.3702000002</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5544</v>
      </c>
      <c r="R236" s="187" t="s">
        <v>4212</v>
      </c>
      <c r="S236" s="186">
        <v>-322076.40905199997</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9" t="s">
        <v>5556</v>
      </c>
      <c r="R237" s="19" t="s">
        <v>5553</v>
      </c>
      <c r="S237" s="115">
        <v>-1500000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5934</v>
      </c>
      <c r="R238" s="187" t="s">
        <v>5628</v>
      </c>
      <c r="S238" s="186">
        <v>15000000</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9" t="s">
        <v>4949</v>
      </c>
      <c r="R239" s="19" t="s">
        <v>5628</v>
      </c>
      <c r="S239" s="186">
        <v>-1500000</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5642</v>
      </c>
      <c r="R240" s="187" t="s">
        <v>5628</v>
      </c>
      <c r="S240" s="186">
        <v>-70000</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5658</v>
      </c>
      <c r="R241" s="187" t="s">
        <v>5652</v>
      </c>
      <c r="S241" s="186">
        <v>1300000</v>
      </c>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5744</v>
      </c>
      <c r="R242" s="187" t="s">
        <v>5741</v>
      </c>
      <c r="S242" s="186">
        <v>90000000</v>
      </c>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5751</v>
      </c>
      <c r="R243" s="187" t="s">
        <v>5748</v>
      </c>
      <c r="S243" s="186">
        <v>33832510.64875</v>
      </c>
      <c r="T243" s="207" t="s">
        <v>4851</v>
      </c>
      <c r="U243" s="207">
        <v>3741</v>
      </c>
      <c r="V243" s="111">
        <v>307.34415000000001</v>
      </c>
      <c r="W243" s="111">
        <f t="shared" si="66"/>
        <v>1149774.4651500001</v>
      </c>
      <c r="X243" s="97" t="s">
        <v>452</v>
      </c>
      <c r="Z243" t="s">
        <v>25</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87" t="s">
        <v>60</v>
      </c>
      <c r="R244" s="187" t="s">
        <v>5760</v>
      </c>
      <c r="S244" s="186">
        <v>21634932</v>
      </c>
      <c r="T244" s="207" t="s">
        <v>4856</v>
      </c>
      <c r="U244" s="207">
        <v>-6207</v>
      </c>
      <c r="V244" s="111">
        <v>322.214</v>
      </c>
      <c r="W244" s="111">
        <f t="shared" si="66"/>
        <v>-1999982.298</v>
      </c>
      <c r="X244" s="97" t="s">
        <v>744</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87" t="s">
        <v>5861</v>
      </c>
      <c r="R245" s="187" t="s">
        <v>5856</v>
      </c>
      <c r="S245" s="186">
        <v>-22520813.151772</v>
      </c>
      <c r="T245" s="207" t="s">
        <v>4856</v>
      </c>
      <c r="U245" s="207">
        <v>6207</v>
      </c>
      <c r="V245" s="111">
        <v>322.214</v>
      </c>
      <c r="W245" s="111">
        <f t="shared" si="66"/>
        <v>1999982.298</v>
      </c>
      <c r="X245" s="97" t="s">
        <v>4409</v>
      </c>
      <c r="AH245" s="97">
        <v>225</v>
      </c>
      <c r="AI245" s="111" t="s">
        <v>5741</v>
      </c>
      <c r="AJ245" s="111">
        <v>70000</v>
      </c>
      <c r="AK245" s="97">
        <v>1</v>
      </c>
      <c r="AL245" s="20">
        <f t="shared" si="73"/>
        <v>44</v>
      </c>
      <c r="AM245" s="115">
        <f t="shared" si="74"/>
        <v>3080000</v>
      </c>
      <c r="AN245" s="20"/>
    </row>
    <row r="246" spans="7:46">
      <c r="G246" s="207" t="s">
        <v>5684</v>
      </c>
      <c r="H246" s="111">
        <v>31388943.254850004</v>
      </c>
      <c r="Q246" s="187" t="s">
        <v>5896</v>
      </c>
      <c r="R246" s="187" t="s">
        <v>5891</v>
      </c>
      <c r="S246" s="115">
        <v>-6000000</v>
      </c>
      <c r="T246" s="207" t="s">
        <v>4805</v>
      </c>
      <c r="U246" s="207">
        <v>776</v>
      </c>
      <c r="V246" s="111">
        <v>322.214</v>
      </c>
      <c r="W246" s="111">
        <f t="shared" si="66"/>
        <v>250038.06400000001</v>
      </c>
      <c r="X246" s="97" t="s">
        <v>452</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187" t="s">
        <v>4737</v>
      </c>
      <c r="R247" s="187" t="s">
        <v>5891</v>
      </c>
      <c r="S247" s="115"/>
      <c r="T247" s="207" t="s">
        <v>4878</v>
      </c>
      <c r="U247" s="207">
        <v>1524</v>
      </c>
      <c r="V247" s="111">
        <v>314.95999999999998</v>
      </c>
      <c r="W247" s="111">
        <f t="shared" si="66"/>
        <v>479999.04</v>
      </c>
      <c r="X247" s="97" t="s">
        <v>1071</v>
      </c>
      <c r="AH247" s="97">
        <v>227</v>
      </c>
      <c r="AI247" s="111" t="s">
        <v>5856</v>
      </c>
      <c r="AJ247" s="111">
        <v>33833075</v>
      </c>
      <c r="AK247" s="97">
        <v>18</v>
      </c>
      <c r="AL247" s="20">
        <f t="shared" si="73"/>
        <v>42</v>
      </c>
      <c r="AM247" s="115">
        <f t="shared" si="74"/>
        <v>1420989150</v>
      </c>
      <c r="AN247" s="20" t="s">
        <v>5861</v>
      </c>
    </row>
    <row r="248" spans="7:46">
      <c r="G248" s="207" t="s">
        <v>5687</v>
      </c>
      <c r="H248" s="111">
        <v>19602926.115093999</v>
      </c>
      <c r="J248" t="s">
        <v>25</v>
      </c>
      <c r="Q248" s="19" t="s">
        <v>6499</v>
      </c>
      <c r="R248" s="19" t="s">
        <v>6495</v>
      </c>
      <c r="S248" s="111"/>
      <c r="T248" s="207" t="s">
        <v>4885</v>
      </c>
      <c r="U248" s="207">
        <v>4435</v>
      </c>
      <c r="V248" s="111">
        <v>316.4375</v>
      </c>
      <c r="W248" s="111">
        <f t="shared" si="66"/>
        <v>1403400.3125</v>
      </c>
      <c r="X248" s="97" t="s">
        <v>452</v>
      </c>
      <c r="AH248" s="97">
        <v>228</v>
      </c>
      <c r="AI248" s="111" t="s">
        <v>5874</v>
      </c>
      <c r="AJ248" s="111">
        <v>150000</v>
      </c>
      <c r="AK248" s="97">
        <v>10</v>
      </c>
      <c r="AL248" s="20">
        <f t="shared" si="73"/>
        <v>24</v>
      </c>
      <c r="AM248" s="115"/>
      <c r="AN248" s="20"/>
    </row>
    <row r="249" spans="7:46">
      <c r="G249" s="207" t="s">
        <v>5691</v>
      </c>
      <c r="H249" s="111">
        <v>34458590.308710001</v>
      </c>
      <c r="P249" t="s">
        <v>25</v>
      </c>
      <c r="Q249" s="19"/>
      <c r="R249" s="19"/>
      <c r="S249" s="111">
        <f>SUM(S207:S248)</f>
        <v>110726068.78092602</v>
      </c>
      <c r="T249" s="207" t="s">
        <v>4888</v>
      </c>
      <c r="U249" s="207">
        <v>624</v>
      </c>
      <c r="V249" s="111">
        <v>320.5</v>
      </c>
      <c r="W249" s="111">
        <f t="shared" si="66"/>
        <v>199992</v>
      </c>
      <c r="X249" s="97" t="s">
        <v>452</v>
      </c>
      <c r="AH249" s="97">
        <v>229</v>
      </c>
      <c r="AI249" s="111" t="s">
        <v>5891</v>
      </c>
      <c r="AJ249" s="111">
        <v>-341847876.93843603</v>
      </c>
      <c r="AK249" s="97">
        <v>1</v>
      </c>
      <c r="AL249" s="20">
        <f t="shared" si="73"/>
        <v>14</v>
      </c>
      <c r="AM249" s="115"/>
      <c r="AN249" s="20" t="s">
        <v>4737</v>
      </c>
      <c r="AP249" t="s">
        <v>25</v>
      </c>
    </row>
    <row r="250" spans="7:46" ht="20.25" customHeight="1">
      <c r="G250" s="207" t="s">
        <v>5693</v>
      </c>
      <c r="H250" s="111">
        <v>21697868.203256</v>
      </c>
      <c r="Q250" s="207" t="s">
        <v>25</v>
      </c>
      <c r="R250" s="207"/>
      <c r="S250" s="207" t="s">
        <v>6</v>
      </c>
      <c r="T250" s="207" t="s">
        <v>4893</v>
      </c>
      <c r="U250" s="207">
        <v>1086</v>
      </c>
      <c r="V250" s="111">
        <v>317.55</v>
      </c>
      <c r="W250" s="111">
        <f t="shared" si="66"/>
        <v>344859.3</v>
      </c>
      <c r="X250" s="97" t="s">
        <v>452</v>
      </c>
      <c r="AH250" s="97">
        <v>230</v>
      </c>
      <c r="AI250" s="111" t="s">
        <v>5904</v>
      </c>
      <c r="AJ250" s="111">
        <v>100000000</v>
      </c>
      <c r="AK250" s="97">
        <v>0</v>
      </c>
      <c r="AL250" s="20">
        <f t="shared" si="73"/>
        <v>13</v>
      </c>
      <c r="AM250" s="115"/>
      <c r="AN250" s="20" t="s">
        <v>5905</v>
      </c>
    </row>
    <row r="251" spans="7:46" ht="30">
      <c r="G251" s="207" t="s">
        <v>5695</v>
      </c>
      <c r="H251" s="111">
        <v>25340079.252110001</v>
      </c>
      <c r="Q251" s="207"/>
      <c r="R251" s="207"/>
      <c r="T251" s="207" t="s">
        <v>4898</v>
      </c>
      <c r="U251" s="207">
        <v>2820</v>
      </c>
      <c r="V251" s="111">
        <v>319.1096</v>
      </c>
      <c r="W251" s="111">
        <f t="shared" si="66"/>
        <v>899889.07200000004</v>
      </c>
      <c r="X251" s="97" t="s">
        <v>452</v>
      </c>
      <c r="AH251" s="97">
        <v>231</v>
      </c>
      <c r="AI251" s="111" t="s">
        <v>5904</v>
      </c>
      <c r="AJ251" s="111">
        <v>-100000000</v>
      </c>
      <c r="AK251" s="97">
        <v>1</v>
      </c>
      <c r="AL251" s="20">
        <f t="shared" si="73"/>
        <v>13</v>
      </c>
      <c r="AM251" s="115"/>
      <c r="AN251" s="264" t="s">
        <v>5906</v>
      </c>
    </row>
    <row r="252" spans="7:46">
      <c r="G252" s="207" t="s">
        <v>5696</v>
      </c>
      <c r="H252" s="111">
        <v>14780983.183526</v>
      </c>
      <c r="O252" t="s">
        <v>25</v>
      </c>
      <c r="Q252" s="41"/>
      <c r="R252" s="207"/>
      <c r="T252" s="207" t="s">
        <v>4901</v>
      </c>
      <c r="U252" s="207">
        <v>1145</v>
      </c>
      <c r="V252" s="111">
        <v>325.44</v>
      </c>
      <c r="W252" s="111">
        <f t="shared" si="66"/>
        <v>372628.8</v>
      </c>
      <c r="X252" s="97" t="s">
        <v>452</v>
      </c>
      <c r="Y252" t="s">
        <v>25</v>
      </c>
      <c r="AH252" s="97">
        <v>232</v>
      </c>
      <c r="AI252" s="111" t="s">
        <v>5907</v>
      </c>
      <c r="AJ252" s="111">
        <v>90000000</v>
      </c>
      <c r="AK252" s="97">
        <v>0</v>
      </c>
      <c r="AL252" s="20">
        <f t="shared" si="73"/>
        <v>12</v>
      </c>
      <c r="AM252" s="115"/>
      <c r="AN252" s="20"/>
    </row>
    <row r="253" spans="7:46" ht="30">
      <c r="G253" s="207" t="s">
        <v>5699</v>
      </c>
      <c r="H253" s="111">
        <v>17804396.448481999</v>
      </c>
      <c r="Q253" s="94"/>
      <c r="S253" t="s">
        <v>25</v>
      </c>
      <c r="T253" s="207" t="s">
        <v>4909</v>
      </c>
      <c r="U253" s="207">
        <v>20153</v>
      </c>
      <c r="V253" s="111">
        <v>322</v>
      </c>
      <c r="W253" s="111">
        <f t="shared" si="66"/>
        <v>6489266</v>
      </c>
      <c r="X253" s="97" t="s">
        <v>452</v>
      </c>
      <c r="AH253" s="97">
        <v>233</v>
      </c>
      <c r="AI253" s="111" t="s">
        <v>5907</v>
      </c>
      <c r="AJ253" s="111">
        <v>-90000000</v>
      </c>
      <c r="AK253" s="97">
        <v>1</v>
      </c>
      <c r="AL253" s="20">
        <f t="shared" si="73"/>
        <v>12</v>
      </c>
      <c r="AM253" s="115"/>
      <c r="AN253" s="264" t="s">
        <v>5908</v>
      </c>
      <c r="AQ253" t="s">
        <v>25</v>
      </c>
      <c r="AS253" t="s">
        <v>25</v>
      </c>
    </row>
    <row r="254" spans="7:46">
      <c r="G254" s="207" t="s">
        <v>5703</v>
      </c>
      <c r="H254" s="111">
        <v>11538335.631417999</v>
      </c>
      <c r="Q254" s="94" t="s">
        <v>25</v>
      </c>
      <c r="R254" s="94" t="s">
        <v>25</v>
      </c>
      <c r="S254" t="s">
        <v>25</v>
      </c>
      <c r="T254" s="207" t="s">
        <v>4919</v>
      </c>
      <c r="U254" s="207">
        <v>93720</v>
      </c>
      <c r="V254" s="111">
        <v>325.435</v>
      </c>
      <c r="W254" s="111">
        <f t="shared" si="66"/>
        <v>30499768.199999999</v>
      </c>
      <c r="X254" s="97" t="s">
        <v>1071</v>
      </c>
      <c r="AH254" s="97">
        <v>234</v>
      </c>
      <c r="AI254" s="111" t="s">
        <v>5909</v>
      </c>
      <c r="AJ254" s="111">
        <v>30000000</v>
      </c>
      <c r="AK254" s="97">
        <v>0</v>
      </c>
      <c r="AL254" s="20">
        <f t="shared" si="73"/>
        <v>11</v>
      </c>
      <c r="AM254" s="115"/>
      <c r="AN254" s="264"/>
    </row>
    <row r="255" spans="7:46" ht="30">
      <c r="G255" s="207" t="s">
        <v>5704</v>
      </c>
      <c r="H255" s="111">
        <v>12429517.767776001</v>
      </c>
      <c r="O255" t="s">
        <v>25</v>
      </c>
      <c r="Q255" s="94" t="s">
        <v>25</v>
      </c>
      <c r="R255" s="94" t="s">
        <v>25</v>
      </c>
      <c r="S255" t="s">
        <v>25</v>
      </c>
      <c r="T255" s="207" t="s">
        <v>4919</v>
      </c>
      <c r="U255" s="207">
        <v>20895</v>
      </c>
      <c r="V255" s="111">
        <v>325.435</v>
      </c>
      <c r="W255" s="111">
        <f t="shared" si="66"/>
        <v>6799964.3250000002</v>
      </c>
      <c r="X255" s="97" t="s">
        <v>744</v>
      </c>
      <c r="AH255" s="97">
        <v>235</v>
      </c>
      <c r="AI255" s="111" t="s">
        <v>5909</v>
      </c>
      <c r="AJ255" s="111">
        <v>-30000000</v>
      </c>
      <c r="AK255" s="97">
        <v>3</v>
      </c>
      <c r="AL255" s="20">
        <f t="shared" si="73"/>
        <v>11</v>
      </c>
      <c r="AM255" s="115"/>
      <c r="AN255" s="264" t="s">
        <v>5910</v>
      </c>
    </row>
    <row r="256" spans="7:46">
      <c r="G256" s="207" t="s">
        <v>5714</v>
      </c>
      <c r="H256" s="111">
        <v>5031176.5087869996</v>
      </c>
      <c r="P256" t="s">
        <v>25</v>
      </c>
      <c r="T256" s="207" t="s">
        <v>4928</v>
      </c>
      <c r="U256" s="207">
        <v>2611</v>
      </c>
      <c r="V256" s="111">
        <v>325.435</v>
      </c>
      <c r="W256" s="111">
        <f t="shared" si="66"/>
        <v>849710.78500000003</v>
      </c>
      <c r="X256" s="97" t="s">
        <v>744</v>
      </c>
      <c r="AA256" t="s">
        <v>25</v>
      </c>
      <c r="AH256" s="97">
        <v>236</v>
      </c>
      <c r="AI256" s="111" t="s">
        <v>5926</v>
      </c>
      <c r="AJ256" s="111">
        <v>50000000</v>
      </c>
      <c r="AK256" s="97">
        <v>1</v>
      </c>
      <c r="AL256" s="20">
        <f t="shared" si="73"/>
        <v>8</v>
      </c>
      <c r="AM256" s="115"/>
      <c r="AN256" s="264"/>
    </row>
    <row r="257" spans="7:45" ht="30">
      <c r="G257" s="207" t="s">
        <v>5716</v>
      </c>
      <c r="H257" s="111">
        <v>6822803.9080700008</v>
      </c>
      <c r="Q257" s="97" t="s">
        <v>744</v>
      </c>
      <c r="R257" s="97"/>
      <c r="T257" s="207" t="s">
        <v>4936</v>
      </c>
      <c r="U257" s="207">
        <v>6750</v>
      </c>
      <c r="V257" s="111">
        <v>339.3</v>
      </c>
      <c r="W257" s="111">
        <f t="shared" si="66"/>
        <v>2290275</v>
      </c>
      <c r="X257" s="97" t="s">
        <v>744</v>
      </c>
      <c r="AH257" s="97">
        <v>237</v>
      </c>
      <c r="AI257" s="111" t="s">
        <v>5930</v>
      </c>
      <c r="AJ257" s="111">
        <v>-50000000</v>
      </c>
      <c r="AK257" s="97">
        <v>5</v>
      </c>
      <c r="AL257" s="20">
        <f t="shared" si="73"/>
        <v>7</v>
      </c>
      <c r="AM257" s="115"/>
      <c r="AN257" s="264" t="s">
        <v>5931</v>
      </c>
      <c r="AP257" t="s">
        <v>25</v>
      </c>
    </row>
    <row r="258" spans="7:45">
      <c r="G258" s="207" t="s">
        <v>5720</v>
      </c>
      <c r="H258" s="111">
        <v>330889.73324399994</v>
      </c>
      <c r="Q258" s="97" t="s">
        <v>4402</v>
      </c>
      <c r="R258" s="93">
        <v>172908000</v>
      </c>
      <c r="S258" t="s">
        <v>25</v>
      </c>
      <c r="T258" s="207" t="s">
        <v>4944</v>
      </c>
      <c r="U258" s="207">
        <v>1850</v>
      </c>
      <c r="V258" s="111">
        <v>334.10050000000001</v>
      </c>
      <c r="W258" s="111">
        <f t="shared" si="66"/>
        <v>618085.92500000005</v>
      </c>
      <c r="X258" s="97" t="s">
        <v>452</v>
      </c>
      <c r="Y258" t="s">
        <v>25</v>
      </c>
      <c r="AH258" s="97">
        <v>238</v>
      </c>
      <c r="AI258" s="111" t="s">
        <v>6465</v>
      </c>
      <c r="AJ258" s="111">
        <v>10000</v>
      </c>
      <c r="AK258" s="97">
        <v>1</v>
      </c>
      <c r="AL258" s="20">
        <f t="shared" si="73"/>
        <v>2</v>
      </c>
      <c r="AM258" s="115"/>
      <c r="AN258" s="264"/>
    </row>
    <row r="259" spans="7:45" ht="15" customHeight="1">
      <c r="G259" s="207" t="s">
        <v>5730</v>
      </c>
      <c r="H259" s="111">
        <v>6610318.1610199995</v>
      </c>
      <c r="K259" t="s">
        <v>25</v>
      </c>
      <c r="P259" t="s">
        <v>25</v>
      </c>
      <c r="Q259" s="97" t="s">
        <v>4435</v>
      </c>
      <c r="R259" s="93">
        <v>1400000</v>
      </c>
      <c r="T259" s="207" t="s">
        <v>4944</v>
      </c>
      <c r="U259" s="207">
        <v>-1194</v>
      </c>
      <c r="V259" s="111">
        <v>335</v>
      </c>
      <c r="W259" s="111">
        <f t="shared" si="66"/>
        <v>-399990</v>
      </c>
      <c r="X259" s="97" t="s">
        <v>4409</v>
      </c>
      <c r="Y259" t="s">
        <v>25</v>
      </c>
      <c r="AH259" s="97">
        <v>239</v>
      </c>
      <c r="AI259" s="111" t="s">
        <v>6470</v>
      </c>
      <c r="AJ259" s="111">
        <v>50000000</v>
      </c>
      <c r="AK259" s="97">
        <v>1</v>
      </c>
      <c r="AL259" s="20">
        <f t="shared" si="73"/>
        <v>1</v>
      </c>
      <c r="AM259" s="115"/>
      <c r="AN259" s="264" t="s">
        <v>5356</v>
      </c>
    </row>
    <row r="260" spans="7:45">
      <c r="G260" s="207" t="s">
        <v>5731</v>
      </c>
      <c r="H260" s="111">
        <v>710713.17725199996</v>
      </c>
      <c r="Q260" s="97" t="s">
        <v>4208</v>
      </c>
      <c r="R260" s="93">
        <v>247393</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5733</v>
      </c>
      <c r="H261" s="111">
        <v>81025</v>
      </c>
      <c r="J261" t="s">
        <v>25</v>
      </c>
      <c r="Q261" s="97" t="s">
        <v>4207</v>
      </c>
      <c r="R261" s="93">
        <v>6780000</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4533</v>
      </c>
      <c r="R262" s="93">
        <v>-4000000</v>
      </c>
      <c r="S262" t="s">
        <v>25</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5737</v>
      </c>
      <c r="H263" s="111">
        <v>6035472.4070199998</v>
      </c>
      <c r="P263" t="s">
        <v>25</v>
      </c>
      <c r="Q263" s="97" t="s">
        <v>4558</v>
      </c>
      <c r="R263" s="93">
        <v>16727037</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5739</v>
      </c>
      <c r="H264" s="111">
        <v>984486.34963200008</v>
      </c>
      <c r="Q264" s="97" t="s">
        <v>4563</v>
      </c>
      <c r="R264" s="93">
        <v>46460683</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5741</v>
      </c>
      <c r="H265" s="111">
        <v>2143469.938015</v>
      </c>
      <c r="Q265" s="97" t="s">
        <v>4564</v>
      </c>
      <c r="R265" s="93">
        <v>19663646</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5753</v>
      </c>
      <c r="H266" s="111">
        <v>3085460.5177150001</v>
      </c>
      <c r="Q266" s="97" t="s">
        <v>4585</v>
      </c>
      <c r="R266" s="93">
        <v>4374525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5755</v>
      </c>
      <c r="H267" s="111">
        <v>8261456.790906</v>
      </c>
      <c r="Q267" s="97" t="s">
        <v>4596</v>
      </c>
      <c r="R267" s="93">
        <v>6550580</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5757</v>
      </c>
      <c r="H268" s="111">
        <v>6572373.7593120001</v>
      </c>
      <c r="J268" t="s">
        <v>25</v>
      </c>
      <c r="Q268" s="97" t="s">
        <v>4598</v>
      </c>
      <c r="R268" s="93">
        <v>6650895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5762</v>
      </c>
      <c r="H269" s="111">
        <v>2893243.5730909999</v>
      </c>
      <c r="Q269" s="97" t="s">
        <v>4614</v>
      </c>
      <c r="R269" s="93">
        <v>2145814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5764</v>
      </c>
      <c r="H270" s="111">
        <v>94992058.939007998</v>
      </c>
      <c r="Q270" s="97" t="s">
        <v>4625</v>
      </c>
      <c r="R270" s="93">
        <v>4369730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5770</v>
      </c>
      <c r="H271" s="111">
        <v>275021.925965</v>
      </c>
      <c r="J271" t="s">
        <v>25</v>
      </c>
      <c r="Q271" s="97" t="s">
        <v>4627</v>
      </c>
      <c r="R271" s="93">
        <v>8739459</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5777</v>
      </c>
      <c r="H272" s="111">
        <v>327451.9203</v>
      </c>
      <c r="Q272" s="97" t="s">
        <v>4636</v>
      </c>
      <c r="R272" s="93">
        <v>6667654</v>
      </c>
      <c r="T272" s="207" t="s">
        <v>4989</v>
      </c>
      <c r="U272" s="207">
        <v>1034</v>
      </c>
      <c r="V272" s="111">
        <v>386.608</v>
      </c>
      <c r="W272" s="111">
        <f t="shared" si="66"/>
        <v>399752.67200000002</v>
      </c>
      <c r="X272" s="36" t="s">
        <v>452</v>
      </c>
      <c r="AH272" s="97"/>
      <c r="AI272" s="97"/>
      <c r="AJ272" s="97"/>
      <c r="AK272" s="97"/>
      <c r="AL272" s="97"/>
      <c r="AM272" s="97"/>
      <c r="AN272" s="97"/>
    </row>
    <row r="273" spans="7:40">
      <c r="G273" s="207" t="s">
        <v>5789</v>
      </c>
      <c r="H273" s="111">
        <v>260081.94096800001</v>
      </c>
      <c r="J273" t="s">
        <v>25</v>
      </c>
      <c r="Q273" s="97" t="s">
        <v>4644</v>
      </c>
      <c r="R273" s="93">
        <v>8981245</v>
      </c>
      <c r="S273" t="s">
        <v>25</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5800</v>
      </c>
      <c r="H274" s="111">
        <v>2909284.5308940001</v>
      </c>
      <c r="J274" t="s">
        <v>25</v>
      </c>
      <c r="Q274" s="97" t="s">
        <v>4648</v>
      </c>
      <c r="R274" s="93">
        <v>9181756</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5801</v>
      </c>
      <c r="H275" s="111">
        <v>37723205.094084002</v>
      </c>
      <c r="J275" t="s">
        <v>25</v>
      </c>
      <c r="Q275" s="97" t="s">
        <v>4651</v>
      </c>
      <c r="R275" s="93">
        <v>11811208</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5802</v>
      </c>
      <c r="H276" s="111">
        <v>1500094.75168</v>
      </c>
      <c r="Q276" s="97" t="s">
        <v>4664</v>
      </c>
      <c r="R276" s="93">
        <v>41248054</v>
      </c>
      <c r="T276" s="207" t="s">
        <v>5010</v>
      </c>
      <c r="U276" s="207">
        <v>1285</v>
      </c>
      <c r="V276" s="111">
        <v>388.84</v>
      </c>
      <c r="W276" s="111">
        <f t="shared" si="66"/>
        <v>499659.39999999997</v>
      </c>
      <c r="X276" s="36" t="s">
        <v>452</v>
      </c>
      <c r="AI276" t="s">
        <v>4048</v>
      </c>
      <c r="AJ276" s="112">
        <f>SUM(N42:N55)</f>
        <v>4803292550</v>
      </c>
      <c r="AM276" t="s">
        <v>25</v>
      </c>
    </row>
    <row r="277" spans="7:40">
      <c r="G277" s="207" t="s">
        <v>5803</v>
      </c>
      <c r="H277" s="111">
        <v>7230628.4378079996</v>
      </c>
      <c r="Q277" s="97" t="s">
        <v>4671</v>
      </c>
      <c r="R277" s="93">
        <v>37328780</v>
      </c>
      <c r="T277" s="207" t="s">
        <v>5001</v>
      </c>
      <c r="U277" s="207">
        <v>1924</v>
      </c>
      <c r="V277" s="111">
        <v>386.69600000000003</v>
      </c>
      <c r="W277" s="111">
        <f t="shared" si="66"/>
        <v>744003.10400000005</v>
      </c>
      <c r="X277" s="36" t="s">
        <v>452</v>
      </c>
      <c r="AI277" t="s">
        <v>4118</v>
      </c>
      <c r="AJ277" s="112">
        <f>AJ276-AJ270</f>
        <v>4314811600.9384365</v>
      </c>
      <c r="AM277" t="s">
        <v>25</v>
      </c>
    </row>
    <row r="278" spans="7:40">
      <c r="G278" s="207" t="s">
        <v>5805</v>
      </c>
      <c r="H278" s="111">
        <v>29767389.390390001</v>
      </c>
      <c r="J278" t="s">
        <v>25</v>
      </c>
      <c r="Q278" s="97" t="s">
        <v>4749</v>
      </c>
      <c r="R278" s="93">
        <v>-2194100</v>
      </c>
      <c r="T278" s="207" t="s">
        <v>5026</v>
      </c>
      <c r="U278" s="207">
        <v>165</v>
      </c>
      <c r="V278" s="111">
        <v>393.5</v>
      </c>
      <c r="W278" s="111">
        <f t="shared" si="66"/>
        <v>64927.5</v>
      </c>
      <c r="X278" s="36" t="s">
        <v>452</v>
      </c>
      <c r="AI278" t="s">
        <v>928</v>
      </c>
      <c r="AJ278" s="112">
        <f>AN270</f>
        <v>234446284.24481148</v>
      </c>
      <c r="AN278" t="s">
        <v>25</v>
      </c>
    </row>
    <row r="279" spans="7:40" ht="30">
      <c r="G279" s="207" t="s">
        <v>5807</v>
      </c>
      <c r="H279" s="111">
        <v>151560.25597</v>
      </c>
      <c r="Q279" s="97" t="s">
        <v>4786</v>
      </c>
      <c r="R279" s="93">
        <v>20193916</v>
      </c>
      <c r="S279" t="s">
        <v>25</v>
      </c>
      <c r="T279" s="207" t="s">
        <v>5031</v>
      </c>
      <c r="U279" s="207">
        <v>-34859</v>
      </c>
      <c r="V279" s="111">
        <v>403.1585</v>
      </c>
      <c r="W279" s="111">
        <f t="shared" si="66"/>
        <v>-14053702.1515</v>
      </c>
      <c r="X279" s="36" t="s">
        <v>5034</v>
      </c>
      <c r="AI279" t="s">
        <v>4049</v>
      </c>
      <c r="AJ279" s="112">
        <f>AJ276-AJ275</f>
        <v>4080365316.6936245</v>
      </c>
      <c r="AN279" t="s">
        <v>25</v>
      </c>
    </row>
    <row r="280" spans="7:40">
      <c r="G280" s="207" t="s">
        <v>5808</v>
      </c>
      <c r="H280" s="111">
        <v>481318.88078800001</v>
      </c>
      <c r="Q280" s="97" t="s">
        <v>4856</v>
      </c>
      <c r="R280" s="93">
        <v>-2000000</v>
      </c>
      <c r="T280" s="207" t="s">
        <v>5002</v>
      </c>
      <c r="U280" s="207">
        <v>8476</v>
      </c>
      <c r="V280" s="111">
        <v>419.49900000000002</v>
      </c>
      <c r="W280" s="111">
        <f t="shared" si="66"/>
        <v>3555673.5240000002</v>
      </c>
      <c r="X280" s="36" t="s">
        <v>5040</v>
      </c>
      <c r="AM280" t="s">
        <v>25</v>
      </c>
    </row>
    <row r="281" spans="7:40">
      <c r="G281" s="207" t="s">
        <v>5812</v>
      </c>
      <c r="H281" s="111">
        <v>146277.56820000001</v>
      </c>
      <c r="Q281" s="97" t="s">
        <v>4919</v>
      </c>
      <c r="R281" s="93">
        <v>6800000</v>
      </c>
      <c r="T281" s="207" t="s">
        <v>5052</v>
      </c>
      <c r="U281" s="207">
        <v>903</v>
      </c>
      <c r="V281" s="111">
        <v>442.77379999999999</v>
      </c>
      <c r="W281" s="111">
        <f t="shared" si="66"/>
        <v>399824.7414</v>
      </c>
      <c r="X281" s="36" t="s">
        <v>744</v>
      </c>
      <c r="AJ281" t="s">
        <v>25</v>
      </c>
    </row>
    <row r="282" spans="7:40">
      <c r="G282" s="207" t="s">
        <v>5827</v>
      </c>
      <c r="H282" s="111">
        <v>424693.40162399999</v>
      </c>
      <c r="Q282" s="97" t="s">
        <v>4928</v>
      </c>
      <c r="R282" s="93">
        <v>850000</v>
      </c>
      <c r="S282" t="s">
        <v>25</v>
      </c>
      <c r="T282" s="207" t="s">
        <v>5055</v>
      </c>
      <c r="U282" s="207">
        <v>113</v>
      </c>
      <c r="V282" s="111">
        <v>442.48200000000003</v>
      </c>
      <c r="W282" s="111">
        <f t="shared" ref="W282:W363" si="75">U282*V282</f>
        <v>50000.466</v>
      </c>
      <c r="X282" s="36" t="s">
        <v>744</v>
      </c>
    </row>
    <row r="283" spans="7:40">
      <c r="G283" s="207" t="s">
        <v>5830</v>
      </c>
      <c r="H283" s="111">
        <v>558320.40202399995</v>
      </c>
      <c r="Q283" s="97" t="s">
        <v>4936</v>
      </c>
      <c r="R283" s="93">
        <v>2290500</v>
      </c>
      <c r="T283" s="207" t="s">
        <v>5065</v>
      </c>
      <c r="U283" s="207">
        <v>671</v>
      </c>
      <c r="V283" s="111">
        <v>447</v>
      </c>
      <c r="W283" s="111">
        <f t="shared" si="75"/>
        <v>299937</v>
      </c>
      <c r="X283" s="36" t="s">
        <v>744</v>
      </c>
    </row>
    <row r="284" spans="7:40">
      <c r="G284" s="207" t="s">
        <v>5832</v>
      </c>
      <c r="H284" s="111">
        <v>207642.22201140001</v>
      </c>
      <c r="J284" t="s">
        <v>25</v>
      </c>
      <c r="O284" t="s">
        <v>25</v>
      </c>
      <c r="Q284" s="97" t="s">
        <v>4944</v>
      </c>
      <c r="R284" s="93">
        <v>400000</v>
      </c>
      <c r="T284" s="207" t="s">
        <v>5067</v>
      </c>
      <c r="U284" s="207">
        <v>7</v>
      </c>
      <c r="V284" s="111">
        <v>465.31200000000001</v>
      </c>
      <c r="W284" s="111">
        <f t="shared" si="75"/>
        <v>3257.1840000000002</v>
      </c>
      <c r="X284" s="36" t="s">
        <v>452</v>
      </c>
    </row>
    <row r="285" spans="7:40">
      <c r="G285" s="207" t="s">
        <v>5872</v>
      </c>
      <c r="H285" s="111">
        <v>637977.33504399995</v>
      </c>
      <c r="J285" t="s">
        <v>25</v>
      </c>
      <c r="Q285" s="97" t="s">
        <v>4951</v>
      </c>
      <c r="R285" s="93">
        <v>150000</v>
      </c>
      <c r="T285" s="207" t="s">
        <v>5071</v>
      </c>
      <c r="U285" s="207">
        <v>12950</v>
      </c>
      <c r="V285" s="111">
        <v>463.31599999999997</v>
      </c>
      <c r="W285" s="111">
        <f t="shared" si="75"/>
        <v>5999942.1999999993</v>
      </c>
      <c r="X285" s="36" t="s">
        <v>452</v>
      </c>
    </row>
    <row r="286" spans="7:40">
      <c r="G286" s="207" t="s">
        <v>5873</v>
      </c>
      <c r="H286" s="111">
        <v>466552.25632400002</v>
      </c>
      <c r="J286" t="s">
        <v>25</v>
      </c>
      <c r="Q286" s="97" t="s">
        <v>4979</v>
      </c>
      <c r="R286" s="93">
        <v>-144950</v>
      </c>
      <c r="S286" t="s">
        <v>25</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5874</v>
      </c>
      <c r="H287" s="111">
        <v>189134.85153000001</v>
      </c>
      <c r="Q287" s="97" t="s">
        <v>5004</v>
      </c>
      <c r="R287" s="93">
        <v>320000</v>
      </c>
      <c r="S287" t="s">
        <v>25</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5880</v>
      </c>
      <c r="H288" s="111">
        <v>564888.82799599995</v>
      </c>
      <c r="J288" t="s">
        <v>25</v>
      </c>
      <c r="K288" t="s">
        <v>25</v>
      </c>
      <c r="Q288" s="97" t="s">
        <v>5008</v>
      </c>
      <c r="R288" s="93">
        <v>500000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5926</v>
      </c>
      <c r="H289" s="111">
        <v>259993.58394100002</v>
      </c>
      <c r="J289" t="s">
        <v>25</v>
      </c>
      <c r="Q289" s="97" t="s">
        <v>5052</v>
      </c>
      <c r="R289" s="93">
        <v>400000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5930</v>
      </c>
      <c r="H290" s="111">
        <v>269955.31205999997</v>
      </c>
      <c r="J290" t="s">
        <v>25</v>
      </c>
      <c r="Q290" s="97" t="s">
        <v>5055</v>
      </c>
      <c r="R290" s="93">
        <v>50000</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t="s">
        <v>6480</v>
      </c>
      <c r="H291" s="111">
        <v>560534.38387200003</v>
      </c>
      <c r="Q291" s="97" t="s">
        <v>5065</v>
      </c>
      <c r="R291" s="93">
        <v>300000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t="s">
        <v>6492</v>
      </c>
      <c r="H292" s="111">
        <v>581484.96802499995</v>
      </c>
      <c r="J292" t="s">
        <v>25</v>
      </c>
      <c r="O292" t="s">
        <v>25</v>
      </c>
      <c r="Q292" s="97" t="s">
        <v>5086</v>
      </c>
      <c r="R292" s="93">
        <v>250000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t="s">
        <v>6495</v>
      </c>
      <c r="H293" s="111">
        <v>2136964.3409779998</v>
      </c>
      <c r="Q293" s="97" t="s">
        <v>5119</v>
      </c>
      <c r="R293" s="93">
        <v>200000</v>
      </c>
      <c r="S293" t="s">
        <v>25</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t="s">
        <v>6500</v>
      </c>
      <c r="H294" s="111">
        <v>593783.22629999998</v>
      </c>
      <c r="Q294" s="97" t="s">
        <v>5151</v>
      </c>
      <c r="R294" s="93">
        <v>122000</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t="s">
        <v>6504</v>
      </c>
      <c r="H295" s="111">
        <v>469469.96222000004</v>
      </c>
      <c r="Q295" s="97" t="s">
        <v>5159</v>
      </c>
      <c r="R295" s="93">
        <v>200000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5169</v>
      </c>
      <c r="R296" s="93">
        <v>60000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11"/>
      <c r="Q297" s="97" t="s">
        <v>5228</v>
      </c>
      <c r="R297" s="93">
        <v>-200000</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c r="H298" s="111"/>
      <c r="J298" t="s">
        <v>25</v>
      </c>
      <c r="Q298" s="97" t="s">
        <v>5290</v>
      </c>
      <c r="R298" s="93">
        <v>-9000000</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11"/>
      <c r="Q299" s="97" t="s">
        <v>5349</v>
      </c>
      <c r="R299" s="93">
        <v>-26000000</v>
      </c>
      <c r="S299" t="s">
        <v>25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5353</v>
      </c>
      <c r="R300" s="93">
        <v>-95900000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5354</v>
      </c>
      <c r="R301" s="93">
        <v>-28950000</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5504</v>
      </c>
      <c r="R302" s="93">
        <v>-93000000</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5513</v>
      </c>
      <c r="R303" s="93">
        <v>50000000</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207"/>
      <c r="H304" s="1"/>
      <c r="Q304" s="97" t="s">
        <v>4212</v>
      </c>
      <c r="R304" s="93">
        <v>2749471.1668000002</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G305" s="207"/>
      <c r="H305" s="1"/>
      <c r="Q305" s="97" t="s">
        <v>5604</v>
      </c>
      <c r="R305" s="93">
        <v>-680940.07019999996</v>
      </c>
      <c r="S305" t="s">
        <v>25</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5604</v>
      </c>
      <c r="R306" s="93">
        <v>-48684800.338199995</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5628</v>
      </c>
      <c r="R307" s="93">
        <v>1500000</v>
      </c>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G308" s="286"/>
      <c r="H308" s="1"/>
      <c r="Q308" s="97" t="s">
        <v>965</v>
      </c>
      <c r="R308" s="93">
        <v>11221062</v>
      </c>
      <c r="S308" t="s">
        <v>25</v>
      </c>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Q309" s="97" t="s">
        <v>5862</v>
      </c>
      <c r="R309" s="93">
        <v>20031495.928431001</v>
      </c>
      <c r="S309" t="s">
        <v>25</v>
      </c>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Q310" s="97" t="s">
        <v>5891</v>
      </c>
      <c r="R310" s="93">
        <v>-154353015.43906799</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G311" s="94"/>
      <c r="H311" s="9" t="s">
        <v>452</v>
      </c>
      <c r="Q311" s="97" t="s">
        <v>5913</v>
      </c>
      <c r="R311" s="93">
        <v>16643927.89773</v>
      </c>
      <c r="S311" t="s">
        <v>25</v>
      </c>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t="s">
        <v>5914</v>
      </c>
      <c r="R312" s="93">
        <v>33355467.51292</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t="s">
        <v>6465</v>
      </c>
      <c r="R313" s="93">
        <v>30000000</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G314" s="94"/>
      <c r="H314" s="9" t="s">
        <v>1071</v>
      </c>
      <c r="Q314" s="97" t="s">
        <v>6495</v>
      </c>
      <c r="R314" s="93">
        <v>6000000</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9" t="s">
        <v>5364</v>
      </c>
      <c r="Q315" s="97"/>
      <c r="R315" s="93"/>
      <c r="S315" t="s">
        <v>25</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H316" s="9" t="s">
        <v>5534</v>
      </c>
      <c r="Q316" s="97"/>
      <c r="R316" s="93"/>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H317" s="287" t="s">
        <v>5535</v>
      </c>
      <c r="Q317" s="97"/>
      <c r="R317" s="93"/>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25</v>
      </c>
      <c r="R318" s="93"/>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H319" s="9" t="s">
        <v>5536</v>
      </c>
      <c r="Q319" s="97"/>
      <c r="R319" s="93">
        <f>SUM(R258:R318)</f>
        <v>151716493.65841299</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H320" s="9" t="s">
        <v>5537</v>
      </c>
      <c r="R320" s="97" t="s">
        <v>6</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8:44" ht="30">
      <c r="H321" s="9" t="s">
        <v>5565</v>
      </c>
      <c r="R321" t="s">
        <v>25</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8:44" ht="30">
      <c r="H322" s="287"/>
      <c r="Q322" s="97" t="s">
        <v>452</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8:44">
      <c r="Q323" s="97" t="s">
        <v>4402</v>
      </c>
      <c r="R323" s="97"/>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8:44">
      <c r="Q324" s="97" t="s">
        <v>4448</v>
      </c>
      <c r="R324" s="93">
        <v>63115000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8:44" ht="30">
      <c r="Q325" s="97" t="s">
        <v>4456</v>
      </c>
      <c r="R325" s="93">
        <v>13300000</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8:44">
      <c r="Q326" s="97" t="s">
        <v>4554</v>
      </c>
      <c r="R326" s="93">
        <v>2269000</v>
      </c>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8:44">
      <c r="Q327" s="97" t="s">
        <v>4563</v>
      </c>
      <c r="R327" s="93">
        <v>25071612</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8:44">
      <c r="Q328" s="97" t="s">
        <v>4564</v>
      </c>
      <c r="R328" s="93">
        <v>42236984</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8:44">
      <c r="Q329" s="97" t="s">
        <v>4585</v>
      </c>
      <c r="R329" s="93">
        <v>19663646</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8:44">
      <c r="Q330" s="97" t="s">
        <v>4596</v>
      </c>
      <c r="R330" s="93">
        <v>4374525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8:44">
      <c r="Q331" s="97" t="s">
        <v>4598</v>
      </c>
      <c r="R331" s="93">
        <v>6550580</v>
      </c>
      <c r="S331" s="112"/>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8:44">
      <c r="Q332" s="97" t="s">
        <v>4614</v>
      </c>
      <c r="R332" s="93">
        <v>7054895</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8:44">
      <c r="Q333" s="97" t="s">
        <v>4625</v>
      </c>
      <c r="R333" s="93">
        <v>2145814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4627</v>
      </c>
      <c r="R334" s="93">
        <v>4369730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8:44">
      <c r="Q335" s="97" t="s">
        <v>4636</v>
      </c>
      <c r="R335" s="93">
        <v>8739459</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8:44">
      <c r="Q336" s="97" t="s">
        <v>3668</v>
      </c>
      <c r="R336" s="93">
        <v>6667654</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4648</v>
      </c>
      <c r="R337" s="93">
        <v>8981245</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4651</v>
      </c>
      <c r="R338" s="93">
        <v>9181756</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4664</v>
      </c>
      <c r="R339" s="93">
        <v>11811208</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4671</v>
      </c>
      <c r="R340" s="93">
        <v>41248054</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4677</v>
      </c>
      <c r="R341" s="93">
        <v>37328780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4735</v>
      </c>
      <c r="R342" s="93">
        <v>50000000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4744</v>
      </c>
      <c r="R343" s="93">
        <v>68656</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4744</v>
      </c>
      <c r="R344" s="93">
        <v>4000236</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4749</v>
      </c>
      <c r="R345" s="93">
        <v>2250000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4758</v>
      </c>
      <c r="R346" s="93">
        <v>-2512200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966</v>
      </c>
      <c r="R347" s="93">
        <v>300000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4765</v>
      </c>
      <c r="R348" s="93">
        <v>1100000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4785</v>
      </c>
      <c r="R349" s="93">
        <v>890000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4786</v>
      </c>
      <c r="R350" s="93">
        <v>1000000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4786</v>
      </c>
      <c r="R351" s="93">
        <v>45436311</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4798</v>
      </c>
      <c r="R352" s="93">
        <v>-3500000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4833</v>
      </c>
      <c r="R353" s="93">
        <v>2520000</v>
      </c>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4851</v>
      </c>
      <c r="R354" s="93">
        <v>4900000</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4805</v>
      </c>
      <c r="R355" s="93">
        <v>1150000</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4885</v>
      </c>
      <c r="R356" s="93">
        <v>250000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4888</v>
      </c>
      <c r="R357" s="93">
        <v>1403460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4893</v>
      </c>
      <c r="R358" s="93">
        <v>200000</v>
      </c>
      <c r="S358" s="112"/>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4898</v>
      </c>
      <c r="R359" s="93">
        <v>345000</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4901</v>
      </c>
      <c r="R360" s="93">
        <v>900000</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4909</v>
      </c>
      <c r="R361" s="93">
        <v>372517</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4944</v>
      </c>
      <c r="R362" s="93">
        <v>6489257</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4955</v>
      </c>
      <c r="R363" s="93">
        <v>618000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4959</v>
      </c>
      <c r="R364" s="93">
        <v>20105000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4960</v>
      </c>
      <c r="R365" s="93">
        <v>-21079990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4966</v>
      </c>
      <c r="R366" s="93">
        <v>-5949277</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4972</v>
      </c>
      <c r="R367" s="93">
        <v>-15370656</v>
      </c>
      <c r="S367" t="s">
        <v>25</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4972</v>
      </c>
      <c r="R368" s="93">
        <v>4960000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4979</v>
      </c>
      <c r="R369" s="93">
        <v>10000000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4988</v>
      </c>
      <c r="R370" s="93">
        <v>-40570100</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4989</v>
      </c>
      <c r="R371" s="93">
        <v>1000000</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4996</v>
      </c>
      <c r="R372" s="93">
        <v>400000</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5010</v>
      </c>
      <c r="R373" s="93">
        <v>120000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5001</v>
      </c>
      <c r="R374" s="93">
        <v>500000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5026</v>
      </c>
      <c r="R375" s="93">
        <v>744000</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5031</v>
      </c>
      <c r="R376" s="93">
        <v>65000</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5002</v>
      </c>
      <c r="R377" s="93">
        <v>-14053702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5067</v>
      </c>
      <c r="R378" s="93">
        <v>3555678</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5071</v>
      </c>
      <c r="R379" s="93">
        <v>3495</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5073</v>
      </c>
      <c r="R380" s="93">
        <v>6000000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5074</v>
      </c>
      <c r="R381" s="93">
        <v>17220</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5076</v>
      </c>
      <c r="R382" s="93">
        <v>8249</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5076</v>
      </c>
      <c r="R383" s="93">
        <v>6937</v>
      </c>
      <c r="S383" t="s">
        <v>25</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5079</v>
      </c>
      <c r="R384" s="93">
        <v>4046552</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5086</v>
      </c>
      <c r="R385" s="93">
        <v>-3884943</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5112</v>
      </c>
      <c r="R386" s="93">
        <v>6022</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5115</v>
      </c>
      <c r="R387" s="93">
        <v>400000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5115</v>
      </c>
      <c r="R388" s="93">
        <v>92847</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5119</v>
      </c>
      <c r="R389" s="93">
        <v>-100000</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5124</v>
      </c>
      <c r="R390" s="93">
        <v>10000000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Q391" s="97" t="s">
        <v>5128</v>
      </c>
      <c r="R391" s="93">
        <v>-400000</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P392" t="s">
        <v>25</v>
      </c>
      <c r="Q392" s="97" t="s">
        <v>5130</v>
      </c>
      <c r="R392" s="93">
        <v>5649</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5131</v>
      </c>
      <c r="R393" s="93">
        <v>460000</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5131</v>
      </c>
      <c r="R394" s="93">
        <v>1300000</v>
      </c>
      <c r="T394" s="187" t="s">
        <v>5628</v>
      </c>
      <c r="U394" s="187">
        <v>5682</v>
      </c>
      <c r="V394" s="186">
        <v>2639.970566</v>
      </c>
      <c r="W394" s="186">
        <f t="shared" si="88"/>
        <v>15000312.756012</v>
      </c>
      <c r="X394" s="263" t="s">
        <v>5895</v>
      </c>
      <c r="AH394" s="20">
        <v>108</v>
      </c>
      <c r="AI394" s="20" t="s">
        <v>5134</v>
      </c>
      <c r="AJ394" s="115">
        <v>-880000</v>
      </c>
      <c r="AK394" s="20">
        <v>4</v>
      </c>
      <c r="AL394" s="20">
        <f t="shared" si="89"/>
        <v>546</v>
      </c>
      <c r="AM394" s="20">
        <f t="shared" si="90"/>
        <v>-480480000</v>
      </c>
      <c r="AN394" s="20"/>
    </row>
    <row r="395" spans="16:45" ht="30">
      <c r="Q395" s="97" t="s">
        <v>977</v>
      </c>
      <c r="R395" s="93">
        <v>7300000</v>
      </c>
      <c r="T395" s="187" t="s">
        <v>5628</v>
      </c>
      <c r="U395" s="187">
        <v>-122</v>
      </c>
      <c r="V395" s="186">
        <v>2639.970566</v>
      </c>
      <c r="W395" s="186">
        <f t="shared" si="88"/>
        <v>-322076.40905199997</v>
      </c>
      <c r="X395" s="263" t="s">
        <v>5935</v>
      </c>
      <c r="Y395" t="s">
        <v>25</v>
      </c>
      <c r="AH395" s="192">
        <v>109</v>
      </c>
      <c r="AI395" s="192" t="s">
        <v>5138</v>
      </c>
      <c r="AJ395" s="193">
        <v>873000</v>
      </c>
      <c r="AK395" s="192">
        <v>0</v>
      </c>
      <c r="AL395" s="192">
        <f t="shared" si="89"/>
        <v>542</v>
      </c>
      <c r="AM395" s="192">
        <f t="shared" si="90"/>
        <v>473166000</v>
      </c>
      <c r="AN395" s="192" t="s">
        <v>5084</v>
      </c>
    </row>
    <row r="396" spans="16:45">
      <c r="Q396" s="97" t="s">
        <v>4256</v>
      </c>
      <c r="R396" s="93">
        <v>21203</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5129</v>
      </c>
      <c r="R397" s="93">
        <v>34550</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5166</v>
      </c>
      <c r="R398" s="93">
        <v>-2134406</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5169</v>
      </c>
      <c r="R399" s="93">
        <v>-618906</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5211</v>
      </c>
      <c r="R400" s="93">
        <v>-54615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5256</v>
      </c>
      <c r="R401" s="93">
        <v>18000000</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5263</v>
      </c>
      <c r="R402" s="93">
        <v>20000000</v>
      </c>
      <c r="T402" s="19" t="s">
        <v>5631</v>
      </c>
      <c r="U402" s="19">
        <v>41959</v>
      </c>
      <c r="V402" s="115">
        <v>2639.970566</v>
      </c>
      <c r="W402" s="115">
        <f t="shared" ref="W402:W501"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5338</v>
      </c>
      <c r="R403" s="93">
        <v>27694196</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5339</v>
      </c>
      <c r="R404" s="93">
        <v>7211722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5343</v>
      </c>
      <c r="R405" s="93">
        <v>8481864</v>
      </c>
      <c r="S405" t="s">
        <v>25</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5348</v>
      </c>
      <c r="R406" s="93">
        <v>1558697</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5349</v>
      </c>
      <c r="R407" s="93">
        <v>9042009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5353</v>
      </c>
      <c r="R408" s="93">
        <v>94969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5353</v>
      </c>
      <c r="R409" s="93">
        <v>40000000</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5354</v>
      </c>
      <c r="R410" s="93">
        <v>2806274</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5362</v>
      </c>
      <c r="R411" s="93">
        <v>1331702</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5396</v>
      </c>
      <c r="R412" s="93">
        <v>851238</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5441</v>
      </c>
      <c r="R413" s="93">
        <v>652592</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5442</v>
      </c>
      <c r="R414" s="93">
        <v>554139</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5443</v>
      </c>
      <c r="R415" s="93">
        <v>70373089</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5444</v>
      </c>
      <c r="R416" s="93">
        <v>1219655</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5445</v>
      </c>
      <c r="R417" s="93">
        <v>15350146</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5449</v>
      </c>
      <c r="R418" s="93">
        <v>121018</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5465</v>
      </c>
      <c r="R419" s="93">
        <v>1024993</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5466</v>
      </c>
      <c r="R420" s="93">
        <v>1948077</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5467</v>
      </c>
      <c r="R421" s="93">
        <v>50000120</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5492</v>
      </c>
      <c r="R422" s="93">
        <v>20000055</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5493</v>
      </c>
      <c r="R423" s="93">
        <v>5745697</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5494</v>
      </c>
      <c r="R424" s="93">
        <v>908158</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5495</v>
      </c>
      <c r="R425" s="93">
        <v>12642697</v>
      </c>
      <c r="T425" s="19" t="s">
        <v>5693</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5496</v>
      </c>
      <c r="R426" s="93">
        <v>12297317.81435</v>
      </c>
      <c r="S426" t="s">
        <v>25</v>
      </c>
      <c r="T426" s="19" t="s">
        <v>5695</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5497</v>
      </c>
      <c r="R427" s="93">
        <v>8959643.8508579992</v>
      </c>
      <c r="T427" s="19" t="s">
        <v>5696</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5512</v>
      </c>
      <c r="R428" s="93">
        <v>15154095.839328</v>
      </c>
      <c r="T428" s="285" t="s">
        <v>5699</v>
      </c>
      <c r="U428" s="285">
        <v>163820</v>
      </c>
      <c r="V428" s="88">
        <v>1588.685326</v>
      </c>
      <c r="W428" s="88">
        <f t="shared" si="91"/>
        <v>260258430.10532001</v>
      </c>
      <c r="X428" s="304" t="s">
        <v>5702</v>
      </c>
      <c r="AH428" s="20">
        <v>142</v>
      </c>
      <c r="AI428" s="20" t="s">
        <v>5368</v>
      </c>
      <c r="AJ428" s="115">
        <v>400000</v>
      </c>
      <c r="AK428" s="20">
        <v>0</v>
      </c>
      <c r="AL428" s="20">
        <f t="shared" si="96"/>
        <v>392</v>
      </c>
      <c r="AM428" s="20">
        <f t="shared" si="97"/>
        <v>156800000</v>
      </c>
      <c r="AN428" s="20"/>
    </row>
    <row r="429" spans="17:45">
      <c r="Q429" s="97" t="s">
        <v>5513</v>
      </c>
      <c r="R429" s="93">
        <v>50725508.571864001</v>
      </c>
      <c r="T429" s="19" t="s">
        <v>5699</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5520</v>
      </c>
      <c r="R430" s="93">
        <v>2281961.458596</v>
      </c>
      <c r="S430" t="s">
        <v>25</v>
      </c>
      <c r="T430" s="19" t="s">
        <v>5703</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5521</v>
      </c>
      <c r="R431" s="93">
        <v>10998285</v>
      </c>
      <c r="T431" s="19" t="s">
        <v>5704</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5523</v>
      </c>
      <c r="R432" s="93">
        <v>983018.96187300002</v>
      </c>
      <c r="T432" s="19" t="s">
        <v>5714</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5526</v>
      </c>
      <c r="R433" s="93">
        <v>17049271.032000002</v>
      </c>
      <c r="T433" s="19" t="s">
        <v>5716</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4212</v>
      </c>
      <c r="R434" s="93">
        <v>6829998</v>
      </c>
      <c r="T434" s="19" t="s">
        <v>5720</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5547</v>
      </c>
      <c r="R435" s="93">
        <v>6982608.8207999999</v>
      </c>
      <c r="T435" s="19" t="s">
        <v>965</v>
      </c>
      <c r="U435" s="19">
        <v>5033</v>
      </c>
      <c r="V435" s="115">
        <v>2229.4976999999999</v>
      </c>
      <c r="W435" s="115">
        <f t="shared" si="91"/>
        <v>11221061.924099999</v>
      </c>
      <c r="X435" s="264" t="s">
        <v>5726</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5553</v>
      </c>
      <c r="R436" s="93">
        <v>7510131.0216000006</v>
      </c>
      <c r="T436" s="19" t="s">
        <v>5730</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5562</v>
      </c>
      <c r="R437" s="93">
        <v>7278025.5327000003</v>
      </c>
      <c r="T437" s="19" t="s">
        <v>5731</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5567</v>
      </c>
      <c r="R438" s="93">
        <v>195059.35799999998</v>
      </c>
      <c r="T438" s="19" t="s">
        <v>5733</v>
      </c>
      <c r="U438" s="19">
        <v>35</v>
      </c>
      <c r="V438" s="115">
        <v>2315</v>
      </c>
      <c r="W438" s="115">
        <f t="shared" si="91"/>
        <v>81025</v>
      </c>
      <c r="X438" s="264" t="s">
        <v>5735</v>
      </c>
      <c r="Y438" s="112"/>
      <c r="AH438" s="20">
        <v>152</v>
      </c>
      <c r="AI438" s="20" t="s">
        <v>5448</v>
      </c>
      <c r="AJ438" s="115">
        <v>600000</v>
      </c>
      <c r="AK438" s="20">
        <v>9</v>
      </c>
      <c r="AL438" s="20">
        <f>AK438+AL439</f>
        <v>321</v>
      </c>
      <c r="AM438" s="20">
        <f t="shared" si="101"/>
        <v>192600000</v>
      </c>
      <c r="AN438" s="20" t="s">
        <v>5450</v>
      </c>
    </row>
    <row r="439" spans="17:45">
      <c r="Q439" s="97" t="s">
        <v>5569</v>
      </c>
      <c r="R439" s="93">
        <v>862577.83200000005</v>
      </c>
      <c r="S439" t="s">
        <v>25</v>
      </c>
      <c r="T439" s="19" t="s">
        <v>5736</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5570</v>
      </c>
      <c r="R440" s="93">
        <v>920308.446</v>
      </c>
      <c r="T440" s="19" t="s">
        <v>5737</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5572</v>
      </c>
      <c r="R441" s="93">
        <v>4635809.8416840006</v>
      </c>
      <c r="T441" s="19" t="s">
        <v>5739</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5601</v>
      </c>
      <c r="R442" s="93">
        <v>288892.40000000002</v>
      </c>
      <c r="T442" s="187" t="s">
        <v>5741</v>
      </c>
      <c r="U442" s="187">
        <v>-32</v>
      </c>
      <c r="V442" s="186">
        <v>2221.2123710000001</v>
      </c>
      <c r="W442" s="186">
        <f t="shared" si="91"/>
        <v>-71078.795872000002</v>
      </c>
      <c r="X442" s="263" t="s">
        <v>5745</v>
      </c>
      <c r="AH442" s="20">
        <v>156</v>
      </c>
      <c r="AI442" s="20" t="s">
        <v>5508</v>
      </c>
      <c r="AJ442" s="115">
        <v>90000</v>
      </c>
      <c r="AK442" s="20">
        <v>0</v>
      </c>
      <c r="AL442" s="20">
        <f t="shared" ref="AL442:AL456" si="104">AK442+AL443</f>
        <v>287</v>
      </c>
      <c r="AM442" s="20">
        <f t="shared" ref="AM442:AM456" si="105">AJ442*AL442</f>
        <v>25830000</v>
      </c>
      <c r="AN442" s="20"/>
    </row>
    <row r="443" spans="17:45">
      <c r="Q443" s="97" t="s">
        <v>5602</v>
      </c>
      <c r="R443" s="93">
        <v>58508002.009000003</v>
      </c>
      <c r="T443" s="19" t="s">
        <v>5741</v>
      </c>
      <c r="U443" s="19">
        <v>157</v>
      </c>
      <c r="V443" s="115">
        <v>2221.2123710000001</v>
      </c>
      <c r="W443" s="115">
        <f t="shared" si="91"/>
        <v>348730.34224700002</v>
      </c>
      <c r="X443" s="264" t="s">
        <v>5746</v>
      </c>
      <c r="AH443" s="147">
        <v>157</v>
      </c>
      <c r="AI443" s="147" t="s">
        <v>5508</v>
      </c>
      <c r="AJ443" s="186">
        <v>60000</v>
      </c>
      <c r="AK443" s="147">
        <v>5</v>
      </c>
      <c r="AL443" s="147">
        <f t="shared" si="104"/>
        <v>287</v>
      </c>
      <c r="AM443" s="147">
        <f t="shared" si="105"/>
        <v>17220000</v>
      </c>
      <c r="AN443" s="147"/>
    </row>
    <row r="444" spans="17:45">
      <c r="Q444" s="97" t="s">
        <v>5604</v>
      </c>
      <c r="R444" s="93">
        <v>2245515.5410799999</v>
      </c>
      <c r="S444" t="s">
        <v>25</v>
      </c>
      <c r="T444" s="19" t="s">
        <v>5741</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5604</v>
      </c>
      <c r="R445" s="93">
        <v>18404699.3442</v>
      </c>
      <c r="T445" s="187" t="s">
        <v>5748</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5607</v>
      </c>
      <c r="R446" s="93">
        <v>48684800</v>
      </c>
      <c r="T446" s="19" t="s">
        <v>5753</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5609</v>
      </c>
      <c r="R447" s="93">
        <v>2264658.5922190002</v>
      </c>
      <c r="T447" s="19" t="s">
        <v>5755</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5612</v>
      </c>
      <c r="R448" s="93">
        <v>22877413.789960001</v>
      </c>
      <c r="T448" s="19" t="s">
        <v>5757</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5613</v>
      </c>
      <c r="R449" s="93">
        <v>2362539.4373280001</v>
      </c>
      <c r="T449" s="187" t="s">
        <v>5760</v>
      </c>
      <c r="U449" s="187">
        <v>42393</v>
      </c>
      <c r="V449" s="186">
        <v>2124.4852740000001</v>
      </c>
      <c r="W449" s="186">
        <f t="shared" si="91"/>
        <v>90063304.22068201</v>
      </c>
      <c r="X449" s="263" t="s">
        <v>5761</v>
      </c>
      <c r="Y449" t="s">
        <v>25</v>
      </c>
      <c r="AH449" s="147">
        <v>163</v>
      </c>
      <c r="AI449" s="147" t="s">
        <v>5588</v>
      </c>
      <c r="AJ449" s="186">
        <v>150000</v>
      </c>
      <c r="AK449" s="147">
        <v>5</v>
      </c>
      <c r="AL449" s="147">
        <f t="shared" si="104"/>
        <v>238</v>
      </c>
      <c r="AM449" s="147">
        <f t="shared" si="105"/>
        <v>35700000</v>
      </c>
      <c r="AN449" s="147"/>
      <c r="AR449" t="s">
        <v>25</v>
      </c>
    </row>
    <row r="450" spans="17:44">
      <c r="Q450" s="97" t="s">
        <v>5614</v>
      </c>
      <c r="R450" s="93">
        <v>16042676.656608</v>
      </c>
      <c r="T450" s="19" t="s">
        <v>5762</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5617</v>
      </c>
      <c r="R451" s="93">
        <v>18403291.448284</v>
      </c>
      <c r="T451" s="19" t="s">
        <v>5764</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5618</v>
      </c>
      <c r="R452" s="93">
        <v>10561447.246918</v>
      </c>
      <c r="T452" s="19" t="s">
        <v>5770</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5619</v>
      </c>
      <c r="R453" s="93">
        <v>1226811.9176660001</v>
      </c>
      <c r="T453" s="19" t="s">
        <v>5777</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5624</v>
      </c>
      <c r="R454" s="93">
        <v>39373959.190266006</v>
      </c>
      <c r="T454" s="19" t="s">
        <v>5789</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5625</v>
      </c>
      <c r="R455" s="93">
        <v>27703487.063980002</v>
      </c>
      <c r="T455" s="19" t="s">
        <v>5800</v>
      </c>
      <c r="U455" s="19">
        <v>1449</v>
      </c>
      <c r="V455" s="115">
        <v>2007.787806</v>
      </c>
      <c r="W455" s="115">
        <f t="shared" si="91"/>
        <v>2909284.5308940001</v>
      </c>
      <c r="X455" s="264" t="s">
        <v>5116</v>
      </c>
      <c r="Z455" t="s">
        <v>25</v>
      </c>
      <c r="AH455" s="20">
        <v>169</v>
      </c>
      <c r="AI455" s="20" t="s">
        <v>5699</v>
      </c>
      <c r="AJ455" s="115">
        <v>260000</v>
      </c>
      <c r="AK455" s="20">
        <v>22</v>
      </c>
      <c r="AL455" s="20">
        <f t="shared" si="104"/>
        <v>149</v>
      </c>
      <c r="AM455" s="20">
        <f t="shared" si="105"/>
        <v>38740000</v>
      </c>
      <c r="AN455" s="20"/>
    </row>
    <row r="456" spans="17:44">
      <c r="Q456" s="97" t="s">
        <v>4185</v>
      </c>
      <c r="R456" s="93">
        <v>8738896.6890719999</v>
      </c>
      <c r="T456" s="19" t="s">
        <v>5801</v>
      </c>
      <c r="U456" s="19">
        <v>19028</v>
      </c>
      <c r="V456" s="115">
        <v>1982.5102529999999</v>
      </c>
      <c r="W456" s="115">
        <f t="shared" si="91"/>
        <v>37723205.094084002</v>
      </c>
      <c r="X456" s="264" t="s">
        <v>5116</v>
      </c>
      <c r="Y456" t="s">
        <v>25</v>
      </c>
      <c r="Z456" t="s">
        <v>25</v>
      </c>
      <c r="AH456" s="20">
        <v>170</v>
      </c>
      <c r="AI456" s="20" t="s">
        <v>5731</v>
      </c>
      <c r="AJ456" s="115">
        <v>20000</v>
      </c>
      <c r="AK456" s="20">
        <v>0</v>
      </c>
      <c r="AL456" s="20">
        <f t="shared" si="104"/>
        <v>127</v>
      </c>
      <c r="AM456" s="20">
        <f t="shared" si="105"/>
        <v>2540000</v>
      </c>
      <c r="AN456" s="20"/>
    </row>
    <row r="457" spans="17:44">
      <c r="Q457" s="97" t="s">
        <v>5627</v>
      </c>
      <c r="R457" s="93">
        <v>348201.66738</v>
      </c>
      <c r="T457" s="19" t="s">
        <v>5802</v>
      </c>
      <c r="U457" s="19">
        <v>848</v>
      </c>
      <c r="V457" s="115">
        <v>1768.97966</v>
      </c>
      <c r="W457" s="115">
        <f t="shared" si="91"/>
        <v>1500094.75168</v>
      </c>
      <c r="X457" s="264" t="s">
        <v>5116</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5631</v>
      </c>
      <c r="R458" s="93">
        <v>4158090.8935679998</v>
      </c>
      <c r="T458" s="19" t="s">
        <v>5803</v>
      </c>
      <c r="U458" s="19">
        <v>3824</v>
      </c>
      <c r="V458" s="115">
        <v>1890.8547169999999</v>
      </c>
      <c r="W458" s="115">
        <f t="shared" si="91"/>
        <v>7230628.4378079996</v>
      </c>
      <c r="X458" s="264" t="s">
        <v>5116</v>
      </c>
      <c r="AH458" s="147">
        <v>172</v>
      </c>
      <c r="AI458" s="147" t="s">
        <v>5741</v>
      </c>
      <c r="AJ458" s="186">
        <v>70000</v>
      </c>
      <c r="AK458" s="147">
        <v>0</v>
      </c>
      <c r="AL458" s="147">
        <f t="shared" si="106"/>
        <v>120</v>
      </c>
      <c r="AM458" s="147">
        <f t="shared" si="107"/>
        <v>8400000</v>
      </c>
      <c r="AN458" s="147"/>
    </row>
    <row r="459" spans="17:44">
      <c r="Q459" s="97" t="s">
        <v>5628</v>
      </c>
      <c r="R459" s="93">
        <v>110770524.97879399</v>
      </c>
      <c r="T459" s="19" t="s">
        <v>5805</v>
      </c>
      <c r="U459" s="19">
        <v>14010</v>
      </c>
      <c r="V459" s="115">
        <v>2124.7244390000001</v>
      </c>
      <c r="W459" s="115">
        <f t="shared" si="91"/>
        <v>29767389.390390001</v>
      </c>
      <c r="X459" s="264" t="s">
        <v>5116</v>
      </c>
      <c r="AA459" t="s">
        <v>25</v>
      </c>
      <c r="AH459" s="20">
        <v>173</v>
      </c>
      <c r="AI459" s="20" t="s">
        <v>5741</v>
      </c>
      <c r="AJ459" s="115">
        <v>70000</v>
      </c>
      <c r="AK459" s="20">
        <v>1</v>
      </c>
      <c r="AL459" s="20">
        <f t="shared" si="106"/>
        <v>120</v>
      </c>
      <c r="AM459" s="20">
        <f t="shared" si="107"/>
        <v>8400000</v>
      </c>
      <c r="AN459" s="20"/>
    </row>
    <row r="460" spans="17:44">
      <c r="Q460" s="97" t="s">
        <v>5631</v>
      </c>
      <c r="R460" s="93">
        <v>17900000</v>
      </c>
      <c r="T460" s="19" t="s">
        <v>5806</v>
      </c>
      <c r="U460" s="19">
        <v>73</v>
      </c>
      <c r="V460" s="115">
        <v>2076.1678900000002</v>
      </c>
      <c r="W460" s="115">
        <f t="shared" si="91"/>
        <v>151560.25597</v>
      </c>
      <c r="X460" s="264" t="s">
        <v>5116</v>
      </c>
      <c r="AH460" s="20">
        <v>174</v>
      </c>
      <c r="AI460" s="20" t="s">
        <v>5748</v>
      </c>
      <c r="AJ460" s="115">
        <v>330000</v>
      </c>
      <c r="AK460" s="20">
        <v>0</v>
      </c>
      <c r="AL460" s="20">
        <f t="shared" si="106"/>
        <v>119</v>
      </c>
      <c r="AM460" s="20">
        <f t="shared" si="107"/>
        <v>39270000</v>
      </c>
      <c r="AN460" s="20"/>
    </row>
    <row r="461" spans="17:44">
      <c r="Q461" s="97" t="s">
        <v>5643</v>
      </c>
      <c r="R461" s="93">
        <v>12114824.927374</v>
      </c>
      <c r="T461" s="19" t="s">
        <v>5808</v>
      </c>
      <c r="U461" s="19">
        <v>236</v>
      </c>
      <c r="V461" s="115">
        <v>2039.4867830000001</v>
      </c>
      <c r="W461" s="115">
        <f t="shared" si="91"/>
        <v>481318.88078800001</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5646</v>
      </c>
      <c r="R462" s="93">
        <v>6684147.0064600008</v>
      </c>
      <c r="T462" s="19" t="s">
        <v>5812</v>
      </c>
      <c r="U462" s="19">
        <v>75</v>
      </c>
      <c r="V462" s="115">
        <v>1950.3675760000001</v>
      </c>
      <c r="W462" s="115">
        <f t="shared" si="91"/>
        <v>146277.56820000001</v>
      </c>
      <c r="X462" s="264" t="s">
        <v>5116</v>
      </c>
      <c r="AH462" s="147">
        <v>176</v>
      </c>
      <c r="AI462" s="147" t="s">
        <v>5760</v>
      </c>
      <c r="AJ462" s="186">
        <v>90000000</v>
      </c>
      <c r="AK462" s="147">
        <v>16</v>
      </c>
      <c r="AL462" s="147">
        <f t="shared" si="108"/>
        <v>109</v>
      </c>
      <c r="AM462" s="147">
        <f t="shared" si="109"/>
        <v>9810000000</v>
      </c>
      <c r="AN462" s="147"/>
    </row>
    <row r="463" spans="17:44">
      <c r="Q463" s="97" t="s">
        <v>5650</v>
      </c>
      <c r="R463" s="93">
        <v>1826535.2307560001</v>
      </c>
      <c r="T463" s="19" t="s">
        <v>5827</v>
      </c>
      <c r="U463" s="19">
        <v>232</v>
      </c>
      <c r="V463" s="115">
        <v>1830.5750069999999</v>
      </c>
      <c r="W463" s="115">
        <f t="shared" si="91"/>
        <v>424693.40162399999</v>
      </c>
      <c r="X463" s="264" t="s">
        <v>5116</v>
      </c>
      <c r="Y463" t="s">
        <v>25</v>
      </c>
      <c r="AH463" s="147">
        <v>177</v>
      </c>
      <c r="AI463" s="147" t="s">
        <v>5787</v>
      </c>
      <c r="AJ463" s="186">
        <v>-15000000</v>
      </c>
      <c r="AK463" s="147">
        <v>65</v>
      </c>
      <c r="AL463" s="147">
        <f t="shared" si="108"/>
        <v>93</v>
      </c>
      <c r="AM463" s="147">
        <f t="shared" si="109"/>
        <v>-1395000000</v>
      </c>
      <c r="AN463" s="147" t="s">
        <v>5788</v>
      </c>
    </row>
    <row r="464" spans="17:44">
      <c r="Q464" s="97" t="s">
        <v>5652</v>
      </c>
      <c r="R464" s="93">
        <v>3577366.94</v>
      </c>
      <c r="T464" s="19" t="s">
        <v>5830</v>
      </c>
      <c r="U464" s="19">
        <v>308</v>
      </c>
      <c r="V464" s="115">
        <v>1812.728578</v>
      </c>
      <c r="W464" s="115">
        <f t="shared" si="91"/>
        <v>558320.40202399995</v>
      </c>
      <c r="X464" s="264" t="s">
        <v>5116</v>
      </c>
      <c r="Y464" t="s">
        <v>25</v>
      </c>
      <c r="AH464" s="147">
        <v>178</v>
      </c>
      <c r="AI464" s="147" t="s">
        <v>5856</v>
      </c>
      <c r="AJ464" s="186">
        <v>33833075</v>
      </c>
      <c r="AK464" s="147">
        <v>0</v>
      </c>
      <c r="AL464" s="147">
        <f t="shared" si="108"/>
        <v>28</v>
      </c>
      <c r="AM464" s="147">
        <f t="shared" si="109"/>
        <v>947326100</v>
      </c>
      <c r="AN464" s="147" t="s">
        <v>5861</v>
      </c>
      <c r="AR464" t="s">
        <v>25</v>
      </c>
    </row>
    <row r="465" spans="17:45">
      <c r="Q465" s="97" t="s">
        <v>5656</v>
      </c>
      <c r="R465" s="93">
        <v>21239029.173567999</v>
      </c>
      <c r="T465" s="19" t="s">
        <v>5832</v>
      </c>
      <c r="U465" s="19">
        <v>106</v>
      </c>
      <c r="V465" s="115">
        <v>1958.8888869</v>
      </c>
      <c r="W465" s="115">
        <f t="shared" si="91"/>
        <v>207642.22201140001</v>
      </c>
      <c r="X465" s="264" t="s">
        <v>5116</v>
      </c>
      <c r="AA465" t="s">
        <v>25</v>
      </c>
      <c r="AH465" s="20">
        <v>197</v>
      </c>
      <c r="AI465" s="20" t="s">
        <v>5856</v>
      </c>
      <c r="AJ465" s="115">
        <v>20033075</v>
      </c>
      <c r="AK465" s="20">
        <v>28</v>
      </c>
      <c r="AL465" s="20">
        <f t="shared" si="108"/>
        <v>28</v>
      </c>
      <c r="AM465" s="20">
        <f t="shared" si="109"/>
        <v>560926100</v>
      </c>
      <c r="AN465" s="20" t="s">
        <v>5861</v>
      </c>
      <c r="AR465" t="s">
        <v>25</v>
      </c>
    </row>
    <row r="466" spans="17:45">
      <c r="Q466" s="97" t="s">
        <v>5661</v>
      </c>
      <c r="R466" s="93">
        <v>242957252.40163299</v>
      </c>
      <c r="T466" s="19" t="s">
        <v>5856</v>
      </c>
      <c r="U466" s="19">
        <v>17050</v>
      </c>
      <c r="V466" s="115">
        <v>1984.311475</v>
      </c>
      <c r="W466" s="115">
        <f t="shared" si="91"/>
        <v>33832510.64875</v>
      </c>
      <c r="X466" s="264" t="s">
        <v>5859</v>
      </c>
      <c r="Y466" t="s">
        <v>25</v>
      </c>
      <c r="AH466" s="147">
        <v>198</v>
      </c>
      <c r="AI466" s="147" t="s">
        <v>5891</v>
      </c>
      <c r="AJ466" s="186">
        <v>-22520813.151772</v>
      </c>
      <c r="AK466" s="147">
        <v>0</v>
      </c>
      <c r="AL466" s="147">
        <f>AK466+AL477</f>
        <v>0</v>
      </c>
      <c r="AM466" s="147">
        <f t="shared" si="109"/>
        <v>0</v>
      </c>
      <c r="AN466" s="147" t="s">
        <v>5901</v>
      </c>
    </row>
    <row r="467" spans="17:45">
      <c r="Q467" s="97" t="s">
        <v>5662</v>
      </c>
      <c r="R467" s="93">
        <v>7357181.2750800001</v>
      </c>
      <c r="T467" s="19" t="s">
        <v>5856</v>
      </c>
      <c r="U467" s="19">
        <v>17050</v>
      </c>
      <c r="V467" s="115">
        <v>1984.311475</v>
      </c>
      <c r="W467" s="115">
        <f t="shared" si="91"/>
        <v>33832510.64875</v>
      </c>
      <c r="X467" s="264" t="s">
        <v>5860</v>
      </c>
      <c r="Y467" t="s">
        <v>25</v>
      </c>
      <c r="AH467" s="20">
        <v>199</v>
      </c>
      <c r="AI467" s="20" t="s">
        <v>5891</v>
      </c>
      <c r="AJ467" s="115">
        <v>-204353015</v>
      </c>
      <c r="AK467" s="20">
        <v>0</v>
      </c>
      <c r="AL467" s="20">
        <f t="shared" ref="AL467:AL477" si="110">AK467+AL468</f>
        <v>12</v>
      </c>
      <c r="AM467" s="20">
        <f t="shared" ref="AM467:AM477" si="111">AJ467*AL467</f>
        <v>-2452236180</v>
      </c>
      <c r="AN467" s="20" t="s">
        <v>5902</v>
      </c>
      <c r="AS467" t="s">
        <v>25</v>
      </c>
    </row>
    <row r="468" spans="17:45">
      <c r="Q468" s="97" t="s">
        <v>5666</v>
      </c>
      <c r="R468" s="93">
        <v>14951411.942400001</v>
      </c>
      <c r="T468" s="19" t="s">
        <v>5862</v>
      </c>
      <c r="U468" s="19">
        <v>9659</v>
      </c>
      <c r="V468" s="115">
        <v>2073.8685089999999</v>
      </c>
      <c r="W468" s="115">
        <f t="shared" si="91"/>
        <v>20031495.928431001</v>
      </c>
      <c r="X468" s="264" t="s">
        <v>5863</v>
      </c>
      <c r="Y468" t="s">
        <v>25</v>
      </c>
      <c r="AH468" s="20">
        <v>200</v>
      </c>
      <c r="AI468" s="20" t="s">
        <v>5891</v>
      </c>
      <c r="AJ468" s="115">
        <v>50000000</v>
      </c>
      <c r="AK468" s="20">
        <v>1</v>
      </c>
      <c r="AL468" s="20">
        <f t="shared" si="110"/>
        <v>12</v>
      </c>
      <c r="AM468" s="20">
        <f t="shared" si="111"/>
        <v>600000000</v>
      </c>
      <c r="AN468" s="20" t="s">
        <v>5903</v>
      </c>
    </row>
    <row r="469" spans="17:45">
      <c r="Q469" s="97" t="s">
        <v>5668</v>
      </c>
      <c r="R469" s="93">
        <v>47928209.377011999</v>
      </c>
      <c r="T469" s="19" t="s">
        <v>5872</v>
      </c>
      <c r="U469" s="19">
        <v>323</v>
      </c>
      <c r="V469" s="115">
        <v>1975.162028</v>
      </c>
      <c r="W469" s="115">
        <f t="shared" si="91"/>
        <v>637977.33504399995</v>
      </c>
      <c r="X469" s="264" t="s">
        <v>5116</v>
      </c>
      <c r="AH469" s="20">
        <v>201</v>
      </c>
      <c r="AI469" s="20" t="s">
        <v>5909</v>
      </c>
      <c r="AJ469" s="115">
        <v>50000000</v>
      </c>
      <c r="AK469" s="20">
        <v>8</v>
      </c>
      <c r="AL469" s="20">
        <f t="shared" si="110"/>
        <v>11</v>
      </c>
      <c r="AM469" s="20">
        <f t="shared" si="111"/>
        <v>550000000</v>
      </c>
      <c r="AN469" s="20" t="s">
        <v>5903</v>
      </c>
    </row>
    <row r="470" spans="17:45">
      <c r="Q470" s="97" t="s">
        <v>5670</v>
      </c>
      <c r="R470" s="93">
        <v>2281595.69937</v>
      </c>
      <c r="T470" s="19" t="s">
        <v>5873</v>
      </c>
      <c r="U470" s="19">
        <v>238</v>
      </c>
      <c r="V470" s="115">
        <v>1960.303598</v>
      </c>
      <c r="W470" s="115">
        <f t="shared" si="91"/>
        <v>466552.25632400002</v>
      </c>
      <c r="X470" s="264" t="s">
        <v>5116</v>
      </c>
      <c r="Z470" t="s">
        <v>25</v>
      </c>
      <c r="AH470" s="20">
        <v>202</v>
      </c>
      <c r="AI470" s="20" t="s">
        <v>6461</v>
      </c>
      <c r="AJ470" s="115">
        <v>30000000</v>
      </c>
      <c r="AK470" s="20">
        <v>2</v>
      </c>
      <c r="AL470" s="20">
        <f t="shared" si="110"/>
        <v>3</v>
      </c>
      <c r="AM470" s="20">
        <f t="shared" si="111"/>
        <v>90000000</v>
      </c>
      <c r="AN470" s="20" t="s">
        <v>6463</v>
      </c>
    </row>
    <row r="471" spans="17:45">
      <c r="Q471" s="97" t="s">
        <v>5671</v>
      </c>
      <c r="R471" s="93">
        <v>2964916.035069</v>
      </c>
      <c r="T471" s="19" t="s">
        <v>5874</v>
      </c>
      <c r="U471" s="19">
        <v>75</v>
      </c>
      <c r="V471" s="115">
        <v>1990.893174</v>
      </c>
      <c r="W471" s="115">
        <f t="shared" si="91"/>
        <v>149316.98805000001</v>
      </c>
      <c r="X471" s="264" t="s">
        <v>5875</v>
      </c>
      <c r="Z471" t="s">
        <v>25</v>
      </c>
      <c r="AH471" s="147">
        <v>203</v>
      </c>
      <c r="AI471" s="147" t="s">
        <v>6470</v>
      </c>
      <c r="AJ471" s="186">
        <v>20000000</v>
      </c>
      <c r="AK471" s="147">
        <v>1</v>
      </c>
      <c r="AL471" s="147">
        <f t="shared" si="110"/>
        <v>1</v>
      </c>
      <c r="AM471" s="147">
        <f t="shared" si="111"/>
        <v>20000000</v>
      </c>
      <c r="AN471" s="147" t="s">
        <v>6471</v>
      </c>
    </row>
    <row r="472" spans="17:45">
      <c r="Q472" s="97" t="s">
        <v>5673</v>
      </c>
      <c r="R472" s="93">
        <v>6460549.4269619994</v>
      </c>
      <c r="T472" s="19" t="s">
        <v>5874</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5676</v>
      </c>
      <c r="R473" s="93">
        <v>5212319.8968359996</v>
      </c>
      <c r="T473" s="19" t="s">
        <v>5880</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5678</v>
      </c>
      <c r="R474" s="93">
        <v>4524496.4792809999</v>
      </c>
      <c r="T474" s="187" t="s">
        <v>5891</v>
      </c>
      <c r="U474" s="187">
        <v>11034</v>
      </c>
      <c r="V474" s="186">
        <v>1960.6845390000001</v>
      </c>
      <c r="W474" s="186">
        <f t="shared" si="91"/>
        <v>21634193.203326002</v>
      </c>
      <c r="X474" s="263" t="s">
        <v>5897</v>
      </c>
      <c r="Z474" t="s">
        <v>25</v>
      </c>
      <c r="AH474" s="20"/>
      <c r="AI474" s="20"/>
      <c r="AJ474" s="115"/>
      <c r="AK474" s="20"/>
      <c r="AL474" s="20">
        <f t="shared" si="110"/>
        <v>0</v>
      </c>
      <c r="AM474" s="20">
        <f t="shared" si="111"/>
        <v>0</v>
      </c>
      <c r="AN474" s="20"/>
    </row>
    <row r="475" spans="17:45" ht="30">
      <c r="Q475" s="97" t="s">
        <v>5680</v>
      </c>
      <c r="R475" s="93">
        <v>22866040.240959998</v>
      </c>
      <c r="T475" s="19" t="s">
        <v>5891</v>
      </c>
      <c r="U475" s="19">
        <v>4469</v>
      </c>
      <c r="V475" s="115">
        <v>1960.6845390000001</v>
      </c>
      <c r="W475" s="115">
        <f t="shared" si="91"/>
        <v>8762299.2047910001</v>
      </c>
      <c r="X475" s="264" t="s">
        <v>5898</v>
      </c>
      <c r="Z475" t="s">
        <v>25</v>
      </c>
      <c r="AH475" s="20"/>
      <c r="AI475" s="20"/>
      <c r="AJ475" s="115"/>
      <c r="AK475" s="20"/>
      <c r="AL475" s="20">
        <f t="shared" si="110"/>
        <v>0</v>
      </c>
      <c r="AM475" s="20">
        <f t="shared" si="111"/>
        <v>0</v>
      </c>
      <c r="AN475" s="20"/>
    </row>
    <row r="476" spans="17:45">
      <c r="Q476" s="97" t="s">
        <v>5682</v>
      </c>
      <c r="R476" s="93">
        <v>15359304.269892</v>
      </c>
      <c r="T476" s="19" t="s">
        <v>5891</v>
      </c>
      <c r="U476" s="19">
        <v>-174834</v>
      </c>
      <c r="V476" s="115">
        <v>1955.271154</v>
      </c>
      <c r="W476" s="115">
        <f t="shared" si="91"/>
        <v>-341847876.93843603</v>
      </c>
      <c r="X476" s="264" t="s">
        <v>5899</v>
      </c>
      <c r="AH476" s="20"/>
      <c r="AI476" s="20"/>
      <c r="AJ476" s="115"/>
      <c r="AK476" s="20"/>
      <c r="AL476" s="20">
        <f t="shared" si="110"/>
        <v>0</v>
      </c>
      <c r="AM476" s="20">
        <f t="shared" si="111"/>
        <v>0</v>
      </c>
      <c r="AN476" s="20"/>
    </row>
    <row r="477" spans="17:45">
      <c r="Q477" s="97" t="s">
        <v>5683</v>
      </c>
      <c r="R477" s="93">
        <v>2868508.1846330003</v>
      </c>
      <c r="T477" s="19" t="s">
        <v>5891</v>
      </c>
      <c r="U477" s="19">
        <v>-78942</v>
      </c>
      <c r="V477" s="115">
        <v>1955.271154</v>
      </c>
      <c r="W477" s="115">
        <f t="shared" si="91"/>
        <v>-154353015.43906799</v>
      </c>
      <c r="X477" s="264" t="s">
        <v>5900</v>
      </c>
      <c r="Z477" t="s">
        <v>25</v>
      </c>
      <c r="AA477" t="s">
        <v>25</v>
      </c>
      <c r="AH477" s="97"/>
      <c r="AI477" s="97"/>
      <c r="AJ477" s="115"/>
      <c r="AK477" s="97"/>
      <c r="AL477" s="20">
        <f t="shared" si="110"/>
        <v>0</v>
      </c>
      <c r="AM477" s="20">
        <f t="shared" si="111"/>
        <v>0</v>
      </c>
      <c r="AN477" s="20"/>
    </row>
    <row r="478" spans="17:45">
      <c r="Q478" s="97" t="s">
        <v>5684</v>
      </c>
      <c r="R478" s="93">
        <v>17450393.011856001</v>
      </c>
      <c r="T478" s="187" t="s">
        <v>5891</v>
      </c>
      <c r="U478" s="187">
        <v>-11518</v>
      </c>
      <c r="V478" s="186">
        <v>1955.271154</v>
      </c>
      <c r="W478" s="186">
        <f t="shared" si="91"/>
        <v>-22520813.151772</v>
      </c>
      <c r="X478" s="263" t="s">
        <v>5901</v>
      </c>
      <c r="AH478" s="97"/>
      <c r="AI478" s="97"/>
      <c r="AJ478" s="115"/>
      <c r="AK478" s="97"/>
      <c r="AL478" s="20">
        <f t="shared" si="106"/>
        <v>0</v>
      </c>
      <c r="AM478" s="20">
        <f t="shared" si="107"/>
        <v>0</v>
      </c>
      <c r="AN478" s="97"/>
    </row>
    <row r="479" spans="17:45">
      <c r="Q479" s="97" t="s">
        <v>5685</v>
      </c>
      <c r="R479" s="93">
        <v>31388943.254850004</v>
      </c>
      <c r="T479" s="19" t="s">
        <v>5913</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5687</v>
      </c>
      <c r="R480" s="93">
        <v>30912095.373174001</v>
      </c>
      <c r="T480" s="19" t="s">
        <v>5914</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5691</v>
      </c>
      <c r="R481" s="93">
        <v>19602926.115093999</v>
      </c>
      <c r="T481" s="19" t="s">
        <v>5926</v>
      </c>
      <c r="U481" s="19">
        <v>133</v>
      </c>
      <c r="V481" s="115">
        <v>1954.8389770000001</v>
      </c>
      <c r="W481" s="115">
        <f t="shared" si="91"/>
        <v>259993.58394100002</v>
      </c>
      <c r="X481" s="264" t="s">
        <v>5116</v>
      </c>
    </row>
    <row r="482" spans="17:40">
      <c r="Q482" s="97" t="s">
        <v>5693</v>
      </c>
      <c r="R482" s="93">
        <v>34458590.308710001</v>
      </c>
      <c r="T482" s="19" t="s">
        <v>5930</v>
      </c>
      <c r="U482" s="19">
        <v>140</v>
      </c>
      <c r="V482" s="115">
        <v>1928.2522289999999</v>
      </c>
      <c r="W482" s="115">
        <f t="shared" si="91"/>
        <v>269955.31205999997</v>
      </c>
      <c r="X482" s="264" t="s">
        <v>5116</v>
      </c>
      <c r="Y482" t="s">
        <v>25</v>
      </c>
      <c r="AA482" t="s">
        <v>25</v>
      </c>
      <c r="AI482" t="s">
        <v>4045</v>
      </c>
      <c r="AJ482" s="112">
        <f>AJ479+AN479</f>
        <v>342637848.43585598</v>
      </c>
      <c r="AM482" t="s">
        <v>25</v>
      </c>
    </row>
    <row r="483" spans="17:40">
      <c r="Q483" s="97" t="s">
        <v>5695</v>
      </c>
      <c r="R483" s="93">
        <v>21697868.203256</v>
      </c>
      <c r="T483" s="19" t="s">
        <v>6465</v>
      </c>
      <c r="U483" s="19">
        <v>15839</v>
      </c>
      <c r="V483" s="115">
        <v>1893.9957079999999</v>
      </c>
      <c r="W483" s="115">
        <f t="shared" si="91"/>
        <v>29998998.019012</v>
      </c>
      <c r="X483" s="264" t="s">
        <v>6463</v>
      </c>
      <c r="Z483" t="s">
        <v>25</v>
      </c>
      <c r="AI483" t="s">
        <v>4048</v>
      </c>
      <c r="AJ483" s="112">
        <f>SUM(N20:N31)</f>
        <v>3136412151</v>
      </c>
    </row>
    <row r="484" spans="17:40">
      <c r="Q484" s="97" t="s">
        <v>5696</v>
      </c>
      <c r="R484" s="93">
        <v>25340079.252110001</v>
      </c>
      <c r="T484" s="19" t="s">
        <v>6470</v>
      </c>
      <c r="U484" s="19">
        <v>26601</v>
      </c>
      <c r="V484" s="115">
        <v>1880.082026</v>
      </c>
      <c r="W484" s="115">
        <f t="shared" si="91"/>
        <v>50012061.973626003</v>
      </c>
      <c r="X484" s="264" t="s">
        <v>5356</v>
      </c>
      <c r="AI484" t="s">
        <v>4118</v>
      </c>
      <c r="AJ484" s="112">
        <f>AJ483-AJ479</f>
        <v>2916619474.151772</v>
      </c>
    </row>
    <row r="485" spans="17:40">
      <c r="Q485" s="97" t="s">
        <v>5699</v>
      </c>
      <c r="R485" s="93">
        <v>14780983.183526</v>
      </c>
      <c r="T485" s="187" t="s">
        <v>6470</v>
      </c>
      <c r="U485" s="187">
        <v>10637</v>
      </c>
      <c r="V485" s="186">
        <v>1880.082026</v>
      </c>
      <c r="W485" s="186">
        <f t="shared" si="91"/>
        <v>19998432.510561999</v>
      </c>
      <c r="X485" s="263" t="s">
        <v>6471</v>
      </c>
      <c r="Y485" t="s">
        <v>25</v>
      </c>
      <c r="AI485" t="s">
        <v>928</v>
      </c>
      <c r="AJ485" s="112">
        <f>AN479</f>
        <v>122845171.58762801</v>
      </c>
    </row>
    <row r="486" spans="17:40">
      <c r="Q486" s="97" t="s">
        <v>5699</v>
      </c>
      <c r="R486" s="93">
        <v>17804396.448481999</v>
      </c>
      <c r="T486" s="19" t="s">
        <v>6480</v>
      </c>
      <c r="U486" s="19">
        <v>306</v>
      </c>
      <c r="V486" s="115">
        <v>1831.8117119999999</v>
      </c>
      <c r="W486" s="115">
        <f t="shared" si="91"/>
        <v>560534.38387200003</v>
      </c>
      <c r="X486" s="264" t="s">
        <v>5116</v>
      </c>
      <c r="Y486" t="s">
        <v>25</v>
      </c>
      <c r="AI486" t="s">
        <v>4049</v>
      </c>
      <c r="AJ486" s="112">
        <f>AJ484-AJ485</f>
        <v>2793774302.5641441</v>
      </c>
      <c r="AM486" t="s">
        <v>25</v>
      </c>
      <c r="AN486" t="s">
        <v>25</v>
      </c>
    </row>
    <row r="487" spans="17:40">
      <c r="Q487" s="97" t="s">
        <v>5703</v>
      </c>
      <c r="R487" s="93">
        <v>260260000</v>
      </c>
      <c r="T487" s="19" t="s">
        <v>6492</v>
      </c>
      <c r="U487" s="19">
        <v>325</v>
      </c>
      <c r="V487" s="115">
        <v>1789.1845169999999</v>
      </c>
      <c r="W487" s="115">
        <f t="shared" si="91"/>
        <v>581484.96802499995</v>
      </c>
      <c r="X487" s="264" t="s">
        <v>5116</v>
      </c>
      <c r="Z487" t="s">
        <v>25</v>
      </c>
      <c r="AL487" t="s">
        <v>25</v>
      </c>
      <c r="AM487" t="s">
        <v>25</v>
      </c>
      <c r="AN487" t="s">
        <v>25</v>
      </c>
    </row>
    <row r="488" spans="17:40">
      <c r="Q488" s="97" t="s">
        <v>5704</v>
      </c>
      <c r="R488" s="93">
        <v>11538335.631417999</v>
      </c>
      <c r="T488" s="19" t="s">
        <v>6495</v>
      </c>
      <c r="U488" s="19">
        <v>1154</v>
      </c>
      <c r="V488" s="115">
        <v>1851.788857</v>
      </c>
      <c r="W488" s="115">
        <f t="shared" si="91"/>
        <v>2136964.3409779998</v>
      </c>
      <c r="X488" s="264" t="s">
        <v>5116</v>
      </c>
      <c r="Z488" t="s">
        <v>25</v>
      </c>
      <c r="AA488" t="s">
        <v>25</v>
      </c>
    </row>
    <row r="489" spans="17:40" ht="30">
      <c r="Q489" s="97" t="s">
        <v>5714</v>
      </c>
      <c r="R489" s="93">
        <v>12429517.767776001</v>
      </c>
      <c r="T489" s="19" t="s">
        <v>6495</v>
      </c>
      <c r="U489" s="19">
        <v>3240</v>
      </c>
      <c r="V489" s="115">
        <v>1851.788857</v>
      </c>
      <c r="W489" s="115">
        <f t="shared" si="91"/>
        <v>5999795.8966800002</v>
      </c>
      <c r="X489" s="264" t="s">
        <v>6498</v>
      </c>
    </row>
    <row r="490" spans="17:40">
      <c r="Q490" s="97" t="s">
        <v>5716</v>
      </c>
      <c r="R490" s="93">
        <v>5031176.5087869996</v>
      </c>
      <c r="T490" s="19" t="s">
        <v>6495</v>
      </c>
      <c r="U490" s="19">
        <v>-3240</v>
      </c>
      <c r="V490" s="115">
        <v>1851.788857</v>
      </c>
      <c r="W490" s="115">
        <f t="shared" si="91"/>
        <v>-5999795.8966800002</v>
      </c>
      <c r="X490" s="264" t="s">
        <v>6499</v>
      </c>
      <c r="Z490" t="s">
        <v>25</v>
      </c>
      <c r="AA490" t="s">
        <v>25</v>
      </c>
      <c r="AN490" t="s">
        <v>25</v>
      </c>
    </row>
    <row r="491" spans="17:40">
      <c r="Q491" s="97" t="s">
        <v>5720</v>
      </c>
      <c r="R491" s="93">
        <v>6822803.9080700008</v>
      </c>
      <c r="T491" s="19" t="s">
        <v>6500</v>
      </c>
      <c r="U491" s="19">
        <v>330</v>
      </c>
      <c r="V491" s="115">
        <v>1799.34311</v>
      </c>
      <c r="W491" s="115">
        <f t="shared" si="91"/>
        <v>593783.22629999998</v>
      </c>
      <c r="X491" s="264" t="s">
        <v>5116</v>
      </c>
      <c r="AN491" t="s">
        <v>25</v>
      </c>
    </row>
    <row r="492" spans="17:40">
      <c r="Q492" s="97" t="s">
        <v>5730</v>
      </c>
      <c r="R492" s="93">
        <v>330889.73324399994</v>
      </c>
      <c r="T492" s="19" t="s">
        <v>6504</v>
      </c>
      <c r="U492" s="19">
        <v>266</v>
      </c>
      <c r="V492" s="115">
        <v>1764.9246700000001</v>
      </c>
      <c r="W492" s="115">
        <f t="shared" si="91"/>
        <v>469469.96222000004</v>
      </c>
      <c r="X492" s="264" t="s">
        <v>5116</v>
      </c>
      <c r="Y492" t="s">
        <v>25</v>
      </c>
      <c r="AA492" t="s">
        <v>25</v>
      </c>
      <c r="AB492" t="s">
        <v>25</v>
      </c>
    </row>
    <row r="493" spans="17:40">
      <c r="Q493" s="97" t="s">
        <v>5731</v>
      </c>
      <c r="R493" s="93">
        <v>6610318.1610199995</v>
      </c>
      <c r="T493" s="19"/>
      <c r="U493" s="19"/>
      <c r="V493" s="115"/>
      <c r="W493" s="115"/>
      <c r="X493" s="264"/>
      <c r="Y493" t="s">
        <v>25</v>
      </c>
      <c r="AA493" t="s">
        <v>25</v>
      </c>
    </row>
    <row r="494" spans="17:40">
      <c r="Q494" s="97" t="s">
        <v>5733</v>
      </c>
      <c r="R494" s="93">
        <v>710713.17725199996</v>
      </c>
      <c r="T494" s="19"/>
      <c r="U494" s="19"/>
      <c r="V494" s="115"/>
      <c r="W494" s="115"/>
      <c r="X494" s="264"/>
    </row>
    <row r="495" spans="17:40">
      <c r="Q495" s="97" t="s">
        <v>5736</v>
      </c>
      <c r="R495" s="93">
        <v>81025</v>
      </c>
      <c r="T495" s="19"/>
      <c r="U495" s="19"/>
      <c r="V495" s="115"/>
      <c r="W495" s="115"/>
      <c r="X495" s="264"/>
    </row>
    <row r="496" spans="17:40">
      <c r="Q496" s="97" t="s">
        <v>5737</v>
      </c>
      <c r="R496" s="93">
        <v>219696.613128</v>
      </c>
      <c r="T496" s="19"/>
      <c r="U496" s="19"/>
      <c r="V496" s="115"/>
      <c r="W496" s="115"/>
      <c r="X496" s="264"/>
      <c r="Y496" t="s">
        <v>25</v>
      </c>
      <c r="AA496" t="s">
        <v>25</v>
      </c>
    </row>
    <row r="497" spans="17:28">
      <c r="Q497" s="97" t="s">
        <v>5739</v>
      </c>
      <c r="R497" s="93">
        <v>6035472.4070199998</v>
      </c>
      <c r="T497" s="19"/>
      <c r="U497" s="19"/>
      <c r="V497" s="115"/>
      <c r="W497" s="115"/>
      <c r="X497" s="264"/>
      <c r="AA497" t="s">
        <v>25</v>
      </c>
    </row>
    <row r="498" spans="17:28">
      <c r="Q498" s="97" t="s">
        <v>5741</v>
      </c>
      <c r="R498" s="93">
        <v>984486.34963200008</v>
      </c>
      <c r="T498" s="19"/>
      <c r="U498" s="19"/>
      <c r="V498" s="115"/>
      <c r="W498" s="115"/>
      <c r="X498" s="264"/>
      <c r="Y498" t="s">
        <v>25</v>
      </c>
      <c r="Z498" t="s">
        <v>25</v>
      </c>
    </row>
    <row r="499" spans="17:28">
      <c r="Q499" s="97" t="s">
        <v>5753</v>
      </c>
      <c r="R499" s="93">
        <v>2143469.938015</v>
      </c>
      <c r="T499" s="19"/>
      <c r="U499" s="19"/>
      <c r="V499" s="115"/>
      <c r="W499" s="115">
        <f t="shared" si="91"/>
        <v>0</v>
      </c>
      <c r="X499" s="264"/>
      <c r="Y499" t="s">
        <v>25</v>
      </c>
      <c r="AA499" t="s">
        <v>25</v>
      </c>
    </row>
    <row r="500" spans="17:28">
      <c r="Q500" s="97" t="s">
        <v>5755</v>
      </c>
      <c r="R500" s="93">
        <v>3085460.5177150001</v>
      </c>
      <c r="T500" s="19"/>
      <c r="U500" s="19"/>
      <c r="V500" s="115"/>
      <c r="W500" s="115">
        <f t="shared" si="91"/>
        <v>0</v>
      </c>
      <c r="X500" s="264"/>
      <c r="Y500" t="s">
        <v>25</v>
      </c>
      <c r="AA500" t="s">
        <v>25</v>
      </c>
    </row>
    <row r="501" spans="17:28">
      <c r="Q501" s="97" t="s">
        <v>5757</v>
      </c>
      <c r="R501" s="93">
        <v>8261456.790906</v>
      </c>
      <c r="T501" s="97"/>
      <c r="U501" s="166"/>
      <c r="V501" s="111"/>
      <c r="W501" s="115">
        <f t="shared" si="91"/>
        <v>0</v>
      </c>
      <c r="X501" s="97"/>
      <c r="AB501" t="s">
        <v>25</v>
      </c>
    </row>
    <row r="502" spans="17:28">
      <c r="Q502" s="97" t="s">
        <v>5762</v>
      </c>
      <c r="R502" s="93">
        <v>6572373.7593120001</v>
      </c>
      <c r="T502" s="166"/>
      <c r="U502" s="166">
        <f>SUM(U180:U501)</f>
        <v>4309759</v>
      </c>
      <c r="V502" s="97"/>
      <c r="W502" s="97"/>
      <c r="X502" s="97"/>
    </row>
    <row r="503" spans="17:28">
      <c r="Q503" s="97" t="s">
        <v>5764</v>
      </c>
      <c r="R503" s="93">
        <v>2893243.5730909999</v>
      </c>
      <c r="T503" s="97"/>
      <c r="U503" s="97" t="s">
        <v>6</v>
      </c>
      <c r="V503" s="97"/>
      <c r="W503" s="97"/>
      <c r="X503" s="97"/>
    </row>
    <row r="504" spans="17:28">
      <c r="Q504" s="97" t="s">
        <v>5770</v>
      </c>
      <c r="R504" s="93">
        <v>94992058.939007998</v>
      </c>
      <c r="T504" s="197" t="s">
        <v>4438</v>
      </c>
      <c r="Y504" t="s">
        <v>25</v>
      </c>
    </row>
    <row r="505" spans="17:28">
      <c r="Q505" s="97" t="s">
        <v>5777</v>
      </c>
      <c r="R505" s="93">
        <v>275021.925965</v>
      </c>
      <c r="T505" s="196">
        <f>R204/U502</f>
        <v>1846.4645853747274</v>
      </c>
      <c r="X505" t="s">
        <v>25</v>
      </c>
    </row>
    <row r="506" spans="17:28">
      <c r="Q506" s="97" t="s">
        <v>5789</v>
      </c>
      <c r="R506" s="93">
        <v>327451.9203</v>
      </c>
      <c r="W506" s="112"/>
      <c r="X506">
        <v>26601</v>
      </c>
      <c r="Z506" t="s">
        <v>25</v>
      </c>
    </row>
    <row r="507" spans="17:28">
      <c r="Q507" s="97" t="s">
        <v>5800</v>
      </c>
      <c r="R507" s="93">
        <v>260081.94096800001</v>
      </c>
      <c r="U507" s="94" t="s">
        <v>267</v>
      </c>
      <c r="V507" t="s">
        <v>4439</v>
      </c>
      <c r="X507" t="s">
        <v>25</v>
      </c>
    </row>
    <row r="508" spans="17:28">
      <c r="Q508" s="97" t="s">
        <v>5801</v>
      </c>
      <c r="R508" s="93">
        <v>2909284.5308940001</v>
      </c>
      <c r="T508" s="112"/>
      <c r="U508" s="93">
        <v>-469922</v>
      </c>
      <c r="V508">
        <f>U508/T505</f>
        <v>-254.49824693205937</v>
      </c>
      <c r="X508" t="s">
        <v>25</v>
      </c>
    </row>
    <row r="509" spans="17:28">
      <c r="Q509" s="97" t="s">
        <v>5802</v>
      </c>
      <c r="R509" s="93">
        <v>37723205.094084002</v>
      </c>
      <c r="T509" t="s">
        <v>25</v>
      </c>
      <c r="X509" t="s">
        <v>25</v>
      </c>
    </row>
    <row r="510" spans="17:28">
      <c r="Q510" s="97" t="s">
        <v>5803</v>
      </c>
      <c r="R510" s="93">
        <v>1500094.75168</v>
      </c>
      <c r="T510" t="s">
        <v>25</v>
      </c>
      <c r="U510" s="94" t="s">
        <v>25</v>
      </c>
      <c r="V510" s="22"/>
      <c r="W510" s="214"/>
      <c r="X510" s="273" t="s">
        <v>25</v>
      </c>
    </row>
    <row r="511" spans="17:28">
      <c r="Q511" s="97" t="s">
        <v>5805</v>
      </c>
      <c r="R511" s="93">
        <v>7230628.4378079996</v>
      </c>
      <c r="V511" t="s">
        <v>25</v>
      </c>
      <c r="X511" t="s">
        <v>25</v>
      </c>
    </row>
    <row r="512" spans="17:28">
      <c r="Q512" s="97" t="s">
        <v>5806</v>
      </c>
      <c r="R512" s="93">
        <v>29767389.390390001</v>
      </c>
      <c r="W512" s="112"/>
      <c r="X512" t="s">
        <v>25</v>
      </c>
    </row>
    <row r="513" spans="16:24" ht="60">
      <c r="Q513" s="97" t="s">
        <v>5808</v>
      </c>
      <c r="R513" s="93">
        <v>151560.25597</v>
      </c>
      <c r="T513" s="22" t="s">
        <v>4424</v>
      </c>
      <c r="V513" s="214"/>
    </row>
    <row r="514" spans="16:24" ht="45">
      <c r="Q514" s="97" t="s">
        <v>5812</v>
      </c>
      <c r="R514" s="93">
        <v>481318.88078800001</v>
      </c>
      <c r="T514" s="22" t="s">
        <v>4425</v>
      </c>
      <c r="W514" s="273"/>
    </row>
    <row r="515" spans="16:24">
      <c r="P515" t="s">
        <v>25</v>
      </c>
      <c r="Q515" s="97" t="s">
        <v>5827</v>
      </c>
      <c r="R515" s="93">
        <v>146277.56820000001</v>
      </c>
    </row>
    <row r="516" spans="16:24">
      <c r="Q516" s="97" t="s">
        <v>5830</v>
      </c>
      <c r="R516" s="93">
        <v>424693.40162399999</v>
      </c>
    </row>
    <row r="517" spans="16:24">
      <c r="Q517" s="97" t="s">
        <v>5832</v>
      </c>
      <c r="R517" s="93">
        <v>558320.40202399995</v>
      </c>
      <c r="T517" s="97" t="s">
        <v>4440</v>
      </c>
      <c r="U517" s="97" t="s">
        <v>4419</v>
      </c>
      <c r="V517" s="97" t="s">
        <v>938</v>
      </c>
      <c r="W517" s="72" t="s">
        <v>5555</v>
      </c>
    </row>
    <row r="518" spans="16:24">
      <c r="Q518" s="97" t="s">
        <v>5856</v>
      </c>
      <c r="R518" s="93">
        <v>207642.22201140001</v>
      </c>
      <c r="T518" s="93">
        <f>S249+R319+R540</f>
        <v>2397012607.7952032</v>
      </c>
      <c r="U518" s="93">
        <f>R204</f>
        <v>7957817365</v>
      </c>
      <c r="V518" s="93">
        <f>U518-T518</f>
        <v>5560804757.2047968</v>
      </c>
    </row>
    <row r="519" spans="16:24">
      <c r="Q519" s="97" t="s">
        <v>5856</v>
      </c>
      <c r="R519" s="93">
        <v>33832510.64875</v>
      </c>
      <c r="W519" s="94" t="s">
        <v>25</v>
      </c>
    </row>
    <row r="520" spans="16:24">
      <c r="Q520" s="97" t="s">
        <v>5872</v>
      </c>
      <c r="R520" s="93">
        <v>637977.33504399995</v>
      </c>
    </row>
    <row r="521" spans="16:24">
      <c r="Q521" s="97" t="s">
        <v>5873</v>
      </c>
      <c r="R521" s="93">
        <v>466552.25632400002</v>
      </c>
      <c r="T521" s="115"/>
      <c r="V521" s="112">
        <f>(444000000+2500000)*2/3</f>
        <v>297666666.66666669</v>
      </c>
    </row>
    <row r="522" spans="16:24">
      <c r="Q522" s="97" t="s">
        <v>5874</v>
      </c>
      <c r="R522" s="93">
        <v>149316.98805000001</v>
      </c>
    </row>
    <row r="523" spans="16:24">
      <c r="Q523" s="97" t="s">
        <v>5874</v>
      </c>
      <c r="R523" s="93">
        <v>189134.85153000001</v>
      </c>
      <c r="T523" s="112">
        <f>W326+W327+W329+W330+W332+W333</f>
        <v>-301699041.74755996</v>
      </c>
    </row>
    <row r="524" spans="16:24">
      <c r="Q524" s="97" t="s">
        <v>5880</v>
      </c>
      <c r="R524" s="93">
        <v>564888.82799599995</v>
      </c>
      <c r="T524" t="s">
        <v>25</v>
      </c>
    </row>
    <row r="525" spans="16:24">
      <c r="Q525" s="97" t="s">
        <v>5891</v>
      </c>
      <c r="R525" s="93">
        <v>8762299.2047910001</v>
      </c>
      <c r="T525" s="112">
        <f>V521+T523</f>
        <v>-4032375.0808932781</v>
      </c>
    </row>
    <row r="526" spans="16:24">
      <c r="Q526" s="97" t="s">
        <v>5891</v>
      </c>
      <c r="R526" s="93">
        <v>-341847876.93843603</v>
      </c>
      <c r="T526" t="s">
        <v>25</v>
      </c>
    </row>
    <row r="527" spans="16:24">
      <c r="Q527" s="97" t="s">
        <v>5926</v>
      </c>
      <c r="R527" s="93">
        <v>259993.58394100002</v>
      </c>
      <c r="T527" t="s">
        <v>25</v>
      </c>
      <c r="X527" s="112">
        <f>V535+V537</f>
        <v>22521440</v>
      </c>
    </row>
    <row r="528" spans="16:24">
      <c r="Q528" s="97" t="s">
        <v>5930</v>
      </c>
      <c r="R528" s="93">
        <v>269955.31205999997</v>
      </c>
      <c r="W528" s="94" t="s">
        <v>25</v>
      </c>
    </row>
    <row r="529" spans="17:24">
      <c r="Q529" s="97" t="s">
        <v>6480</v>
      </c>
      <c r="R529" s="93">
        <v>560534.38387200003</v>
      </c>
    </row>
    <row r="530" spans="17:24">
      <c r="Q530" s="97" t="s">
        <v>6492</v>
      </c>
      <c r="R530" s="93">
        <v>581484.96802499995</v>
      </c>
      <c r="T530" t="s">
        <v>25</v>
      </c>
    </row>
    <row r="531" spans="17:24">
      <c r="Q531" s="97" t="s">
        <v>6495</v>
      </c>
      <c r="R531" s="93">
        <v>2136964.3409779998</v>
      </c>
      <c r="T531" s="97" t="s">
        <v>4737</v>
      </c>
      <c r="U531" s="97"/>
      <c r="V531" s="97"/>
    </row>
    <row r="532" spans="17:24">
      <c r="Q532" s="97" t="s">
        <v>6500</v>
      </c>
      <c r="R532" s="93">
        <v>593783.22629999998</v>
      </c>
      <c r="T532" s="97" t="s">
        <v>452</v>
      </c>
      <c r="U532" s="97">
        <v>4217700</v>
      </c>
      <c r="V532" s="35">
        <f>U532*80</f>
        <v>337416000</v>
      </c>
      <c r="W532" s="94" t="s">
        <v>25</v>
      </c>
    </row>
    <row r="533" spans="17:24">
      <c r="Q533" s="97" t="s">
        <v>6504</v>
      </c>
      <c r="R533" s="93">
        <v>469469.96222000004</v>
      </c>
      <c r="T533" s="97" t="s">
        <v>5894</v>
      </c>
      <c r="U533" s="97">
        <v>2527652</v>
      </c>
      <c r="V533" s="49">
        <f>U533*80-50000000</f>
        <v>152212160</v>
      </c>
      <c r="X533" t="s">
        <v>25</v>
      </c>
    </row>
    <row r="534" spans="17:24">
      <c r="Q534" s="97"/>
      <c r="R534" s="93"/>
      <c r="T534" s="97" t="s">
        <v>5869</v>
      </c>
      <c r="U534" s="97">
        <v>47381</v>
      </c>
      <c r="V534" s="35">
        <f t="shared" ref="V534" si="112">U534*80</f>
        <v>3790480</v>
      </c>
    </row>
    <row r="535" spans="17:24">
      <c r="Q535" s="97"/>
      <c r="R535" s="93"/>
      <c r="T535" s="97" t="s">
        <v>1071</v>
      </c>
      <c r="U535" s="97">
        <v>226303</v>
      </c>
      <c r="V535" s="186">
        <f>U535*80</f>
        <v>18104240</v>
      </c>
    </row>
    <row r="536" spans="17:24">
      <c r="Q536" s="97"/>
      <c r="R536" s="93"/>
      <c r="T536" s="97" t="s">
        <v>5868</v>
      </c>
      <c r="U536" s="97">
        <v>8020</v>
      </c>
      <c r="V536" s="35">
        <f>U536*80</f>
        <v>641600</v>
      </c>
    </row>
    <row r="537" spans="17:24">
      <c r="Q537" s="97"/>
      <c r="R537" s="93"/>
      <c r="T537" s="97" t="s">
        <v>5864</v>
      </c>
      <c r="U537" s="97">
        <v>55215</v>
      </c>
      <c r="V537" s="186">
        <f>U537*80</f>
        <v>4417200</v>
      </c>
    </row>
    <row r="538" spans="17:24">
      <c r="Q538" s="97" t="s">
        <v>25</v>
      </c>
      <c r="R538" s="93"/>
      <c r="T538" s="97" t="s">
        <v>5865</v>
      </c>
      <c r="U538" s="97">
        <v>26770</v>
      </c>
      <c r="V538" s="49">
        <f>U538*80</f>
        <v>2141600</v>
      </c>
    </row>
    <row r="539" spans="17:24">
      <c r="Q539" s="97" t="s">
        <v>25</v>
      </c>
      <c r="R539" s="97" t="s">
        <v>25</v>
      </c>
    </row>
    <row r="540" spans="17:24">
      <c r="Q540" s="97"/>
      <c r="R540" s="93">
        <f>SUM(R324:R539)</f>
        <v>2134570045.3558643</v>
      </c>
    </row>
    <row r="541" spans="17:24">
      <c r="R541" s="97" t="s">
        <v>6</v>
      </c>
    </row>
    <row r="542" spans="17:24">
      <c r="X542" t="s">
        <v>25</v>
      </c>
    </row>
    <row r="543" spans="17:24">
      <c r="Q543" t="s">
        <v>25</v>
      </c>
      <c r="T543" s="97" t="s">
        <v>5537</v>
      </c>
      <c r="U543" s="97">
        <v>139096</v>
      </c>
      <c r="V543" s="167">
        <f>U543*80</f>
        <v>11127680</v>
      </c>
    </row>
    <row r="544" spans="17:24">
      <c r="T544" s="97"/>
      <c r="U544" s="97"/>
      <c r="V544" s="167"/>
    </row>
    <row r="545" spans="17:23">
      <c r="Q545" t="s">
        <v>25</v>
      </c>
      <c r="R545" t="s">
        <v>25</v>
      </c>
      <c r="T545" s="97"/>
      <c r="U545" s="97"/>
      <c r="V545" s="167"/>
    </row>
    <row r="546" spans="17:23">
      <c r="R546" t="s">
        <v>25</v>
      </c>
    </row>
    <row r="547" spans="17:23">
      <c r="Q547" t="s">
        <v>25</v>
      </c>
      <c r="R547" t="s">
        <v>25</v>
      </c>
      <c r="T547" s="94"/>
      <c r="V547" s="94"/>
    </row>
    <row r="548" spans="17:23">
      <c r="T548" s="94"/>
      <c r="V548" s="94"/>
      <c r="W548" s="112"/>
    </row>
    <row r="549" spans="17:23">
      <c r="R549" t="s">
        <v>25</v>
      </c>
      <c r="T549" s="94"/>
      <c r="V549" s="94"/>
    </row>
    <row r="550" spans="17:23">
      <c r="T550" s="94"/>
      <c r="V550" s="94"/>
    </row>
    <row r="552" spans="17:23">
      <c r="U552"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A3" zoomScale="80" zoomScaleNormal="80" workbookViewId="0">
      <selection activeCell="V25" sqref="V2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1.4275862068965517</v>
      </c>
      <c r="J1" s="20">
        <f t="shared" ref="J1:J31" si="2">I1/H1</f>
        <v>1.1507608746992548</v>
      </c>
      <c r="K1" s="97">
        <f t="shared" ref="K1:K27" si="3">(1/J1-1.0256)*100</f>
        <v>-15.660973278975565</v>
      </c>
      <c r="L1" s="20"/>
      <c r="M1" s="20"/>
      <c r="N1" s="20">
        <v>1</v>
      </c>
      <c r="P1" s="94"/>
      <c r="Q1" s="67" t="s">
        <v>5925</v>
      </c>
      <c r="R1" s="317">
        <v>1814</v>
      </c>
      <c r="S1" s="94" t="s">
        <v>5870</v>
      </c>
      <c r="T1" s="94" t="s">
        <v>5871</v>
      </c>
      <c r="U1" s="94"/>
      <c r="V1" s="94"/>
      <c r="W1" s="94"/>
      <c r="X1" s="5" t="s">
        <v>6513</v>
      </c>
      <c r="Y1" s="5" t="s">
        <v>6514</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1.4275862068965517</v>
      </c>
      <c r="J2" s="20">
        <f t="shared" si="2"/>
        <v>1.0863565054738096</v>
      </c>
      <c r="K2" s="97">
        <f t="shared" si="3"/>
        <v>-10.509186573531458</v>
      </c>
      <c r="L2" s="20" t="s">
        <v>25</v>
      </c>
      <c r="M2" s="20"/>
      <c r="N2" s="20">
        <f>H2/H1</f>
        <v>1.0592847457542085</v>
      </c>
      <c r="P2" s="94"/>
      <c r="Q2" s="97" t="s">
        <v>4219</v>
      </c>
      <c r="R2" s="284">
        <v>1007</v>
      </c>
      <c r="S2" s="94">
        <v>80</v>
      </c>
      <c r="T2" s="112">
        <v>1099</v>
      </c>
      <c r="U2" s="94">
        <f>S2/T2</f>
        <v>7.2793448589626927E-2</v>
      </c>
      <c r="V2" s="94"/>
      <c r="W2" s="94"/>
      <c r="X2" s="5" t="s">
        <v>744</v>
      </c>
      <c r="Y2" s="5" t="s">
        <v>6515</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1.4275862068965517</v>
      </c>
      <c r="J3" s="20">
        <f t="shared" si="2"/>
        <v>1.0765241148699289</v>
      </c>
      <c r="K3" s="97">
        <f t="shared" si="3"/>
        <v>-9.6684440945547294</v>
      </c>
      <c r="L3" s="20"/>
      <c r="M3" s="20"/>
      <c r="N3" s="20">
        <f>H3/H2</f>
        <v>1.0091334606146456</v>
      </c>
      <c r="P3" s="113"/>
      <c r="Q3" s="97" t="s">
        <v>5280</v>
      </c>
      <c r="R3" s="299">
        <v>1250</v>
      </c>
      <c r="S3" s="113"/>
      <c r="T3" s="113"/>
      <c r="U3" s="113"/>
      <c r="V3" s="113"/>
      <c r="W3" s="113"/>
      <c r="X3" s="5" t="s">
        <v>1071</v>
      </c>
      <c r="Y3" s="35" t="s">
        <v>6516</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20.556107249255213</v>
      </c>
      <c r="J4" s="97">
        <f t="shared" si="2"/>
        <v>1.1608873497628802</v>
      </c>
      <c r="K4" s="97">
        <f t="shared" si="3"/>
        <v>-16.41899758454106</v>
      </c>
      <c r="L4" s="97"/>
      <c r="M4" s="97"/>
      <c r="N4" s="282">
        <v>1</v>
      </c>
      <c r="P4" s="113"/>
      <c r="Q4" s="97" t="s">
        <v>4357</v>
      </c>
      <c r="R4" s="298">
        <v>14500</v>
      </c>
      <c r="S4" s="113"/>
      <c r="T4" s="113"/>
      <c r="U4" s="113"/>
      <c r="X4" s="5" t="s">
        <v>452</v>
      </c>
      <c r="Y4" s="5" t="s">
        <v>6517</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20.556107249255213</v>
      </c>
      <c r="J5" s="97">
        <f t="shared" si="2"/>
        <v>1.1437031620196798</v>
      </c>
      <c r="K5" s="97">
        <f t="shared" si="3"/>
        <v>-15.124725428048368</v>
      </c>
      <c r="L5" s="97"/>
      <c r="M5" s="97"/>
      <c r="N5" s="282">
        <f>H5/H4</f>
        <v>1.015025041736227</v>
      </c>
      <c r="P5" s="113"/>
      <c r="Q5" s="97" t="s">
        <v>4361</v>
      </c>
      <c r="R5" s="283">
        <v>20700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20.556107249255213</v>
      </c>
      <c r="J6" s="97">
        <f t="shared" si="2"/>
        <v>1.1341563910512351</v>
      </c>
      <c r="K6" s="97">
        <f t="shared" si="3"/>
        <v>-14.388738268351808</v>
      </c>
      <c r="L6" s="97"/>
      <c r="M6" s="97"/>
      <c r="N6" s="282">
        <f>H6/H5</f>
        <v>1.0084175084175084</v>
      </c>
      <c r="P6" s="113"/>
      <c r="Q6" s="67" t="s">
        <v>5887</v>
      </c>
      <c r="R6" s="303">
        <v>400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20.556107249255213</v>
      </c>
      <c r="J7" s="97">
        <f t="shared" si="2"/>
        <v>1.1303376826638571</v>
      </c>
      <c r="K7" s="97">
        <f t="shared" si="3"/>
        <v>-14.090862384123259</v>
      </c>
      <c r="L7" s="36"/>
      <c r="M7" s="97"/>
      <c r="N7" s="282">
        <f>H7/H6</f>
        <v>1.0033783783783783</v>
      </c>
      <c r="O7" s="94"/>
      <c r="P7" s="113"/>
      <c r="Q7" s="67" t="s">
        <v>6505</v>
      </c>
      <c r="R7" s="322">
        <v>300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20.556107249255213</v>
      </c>
      <c r="J8" s="97">
        <f t="shared" si="2"/>
        <v>1.1468721844650087</v>
      </c>
      <c r="K8" s="97">
        <f t="shared" si="3"/>
        <v>-15.366325452345109</v>
      </c>
      <c r="L8" s="36"/>
      <c r="M8" s="97"/>
      <c r="N8" s="282">
        <f>H8/H7</f>
        <v>0.98558296031142778</v>
      </c>
      <c r="P8" s="113"/>
      <c r="Q8" s="67" t="s">
        <v>5876</v>
      </c>
      <c r="R8" s="301">
        <v>200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14.399205561072492</v>
      </c>
      <c r="J9" s="20">
        <f t="shared" si="2"/>
        <v>1.0297730137838237</v>
      </c>
      <c r="K9" s="20">
        <f t="shared" si="3"/>
        <v>-5.4512210152434566</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14.399205561072492</v>
      </c>
      <c r="J10" s="20">
        <f t="shared" si="2"/>
        <v>1.2524325830175236</v>
      </c>
      <c r="K10" s="20">
        <f t="shared" si="3"/>
        <v>-22.715382927624749</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14.399205561072492</v>
      </c>
      <c r="J11" s="20">
        <f t="shared" si="2"/>
        <v>1.2412358658472815</v>
      </c>
      <c r="K11" s="20">
        <f t="shared" si="3"/>
        <v>-21.995134971918596</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14.399205561072492</v>
      </c>
      <c r="J12" s="20">
        <f t="shared" si="2"/>
        <v>1.2292800037419223</v>
      </c>
      <c r="K12" s="20">
        <f t="shared" si="3"/>
        <v>-21.211568645385526</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14.399205561072492</v>
      </c>
      <c r="J13" s="20">
        <f t="shared" si="2"/>
        <v>1.2133524925458785</v>
      </c>
      <c r="K13" s="20">
        <f t="shared" si="3"/>
        <v>-20.143718981630677</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14.399205561072492</v>
      </c>
      <c r="J14" s="20">
        <f t="shared" si="2"/>
        <v>1.2232773472420386</v>
      </c>
      <c r="K14" s="20">
        <f t="shared" si="3"/>
        <v>-20.81238959467635</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14.399205561072492</v>
      </c>
      <c r="J15" s="20">
        <f t="shared" si="2"/>
        <v>1.192886969196985</v>
      </c>
      <c r="K15" s="20">
        <f t="shared" si="3"/>
        <v>-18.729760771788019</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14.399205561072492</v>
      </c>
      <c r="J16" s="20">
        <f t="shared" si="2"/>
        <v>1.1697417626603988</v>
      </c>
      <c r="K16" s="20">
        <f t="shared" si="3"/>
        <v>-17.071045777689186</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14.399205561072492</v>
      </c>
      <c r="J17" s="20">
        <f t="shared" si="2"/>
        <v>1.1479260261878321</v>
      </c>
      <c r="K17" s="20">
        <f t="shared" si="3"/>
        <v>-15.446372711583379</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14.399205561072492</v>
      </c>
      <c r="J18" s="20">
        <f t="shared" si="2"/>
        <v>1.1392164957655959</v>
      </c>
      <c r="K18" s="20">
        <f t="shared" si="3"/>
        <v>-14.780372184133217</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14.399205561072492</v>
      </c>
      <c r="J19" s="20">
        <f t="shared" si="2"/>
        <v>1.1186927022363469</v>
      </c>
      <c r="K19" s="20">
        <f t="shared" si="3"/>
        <v>-13.16994694960213</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14.399205561072492</v>
      </c>
      <c r="J20" s="20">
        <f t="shared" si="2"/>
        <v>1.0487366979671862</v>
      </c>
      <c r="K20" s="20">
        <f t="shared" si="3"/>
        <v>-7.2071815148315839</v>
      </c>
      <c r="L20" s="20"/>
      <c r="M20" s="20"/>
      <c r="N20" s="20">
        <f t="shared" si="5"/>
        <v>1.0667050217702494</v>
      </c>
    </row>
    <row r="21" spans="1:24" ht="21">
      <c r="A21" s="300" t="s">
        <v>6480</v>
      </c>
      <c r="B21" s="60" t="s">
        <v>4357</v>
      </c>
      <c r="C21" s="49">
        <v>14499</v>
      </c>
      <c r="D21" s="60">
        <v>200</v>
      </c>
      <c r="E21" s="276" t="s">
        <v>4219</v>
      </c>
      <c r="F21" s="278">
        <v>1019</v>
      </c>
      <c r="G21" s="276">
        <f t="shared" si="0"/>
        <v>2810.0762499755424</v>
      </c>
      <c r="H21" s="277">
        <f t="shared" si="1"/>
        <v>14.22865554465162</v>
      </c>
      <c r="I21" s="281">
        <f t="shared" si="4"/>
        <v>14.399205561072492</v>
      </c>
      <c r="J21" s="20">
        <f t="shared" si="2"/>
        <v>1.0119863760764789</v>
      </c>
      <c r="K21" s="321">
        <f t="shared" si="3"/>
        <v>-3.7444404588677149</v>
      </c>
      <c r="L21" s="20"/>
      <c r="M21" s="20"/>
      <c r="N21" s="20">
        <f>H21/H20</f>
        <v>1.0363150362094695</v>
      </c>
    </row>
    <row r="22" spans="1:24" ht="21">
      <c r="A22" s="276" t="s">
        <v>6537</v>
      </c>
      <c r="B22" s="276" t="s">
        <v>4219</v>
      </c>
      <c r="C22" s="278">
        <v>1030</v>
      </c>
      <c r="D22" s="276">
        <v>448</v>
      </c>
      <c r="E22" s="297" t="s">
        <v>5280</v>
      </c>
      <c r="F22" s="318">
        <v>1232.5</v>
      </c>
      <c r="G22" s="297">
        <f t="shared" si="0"/>
        <v>369.70264156140303</v>
      </c>
      <c r="H22" s="297">
        <f t="shared" si="1"/>
        <v>0.83569979716024345</v>
      </c>
      <c r="I22" s="297">
        <f>$R$2/$R$3</f>
        <v>0.80559999999999998</v>
      </c>
      <c r="J22" s="97">
        <f t="shared" si="2"/>
        <v>0.96398252427184461</v>
      </c>
      <c r="K22" s="320">
        <f t="shared" si="3"/>
        <v>1.1763204022149143</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11.6</v>
      </c>
      <c r="J23" s="97">
        <f t="shared" si="2"/>
        <v>1.1320627336133482</v>
      </c>
      <c r="K23" s="97">
        <f t="shared" si="3"/>
        <v>-14.225672731035576</v>
      </c>
      <c r="L23" s="97"/>
      <c r="M23" s="97"/>
      <c r="N23" s="97">
        <v>1</v>
      </c>
      <c r="P23">
        <f>I22/P22</f>
        <v>1.0109182879377432</v>
      </c>
      <c r="Q23" s="94">
        <f>I22/P22</f>
        <v>1.0109182879377432</v>
      </c>
    </row>
    <row r="24" spans="1:24" ht="21">
      <c r="A24" s="60" t="s">
        <v>5814</v>
      </c>
      <c r="B24" s="60" t="s">
        <v>4357</v>
      </c>
      <c r="C24" s="49">
        <v>12936</v>
      </c>
      <c r="D24" s="60">
        <v>316</v>
      </c>
      <c r="E24" s="297" t="s">
        <v>5280</v>
      </c>
      <c r="F24" s="318">
        <v>1250.3</v>
      </c>
      <c r="G24" s="297">
        <f t="shared" si="0"/>
        <v>3228.4725727825744</v>
      </c>
      <c r="H24" s="297">
        <f t="shared" si="1"/>
        <v>10.346316883947853</v>
      </c>
      <c r="I24" s="297">
        <f>$R$4/$R$3</f>
        <v>11.6</v>
      </c>
      <c r="J24" s="97">
        <f t="shared" si="2"/>
        <v>1.1211719233147803</v>
      </c>
      <c r="K24" s="320">
        <f t="shared" si="3"/>
        <v>-13.367613069415063</v>
      </c>
      <c r="L24" s="97" t="s">
        <v>25</v>
      </c>
      <c r="M24" s="97" t="s">
        <v>25</v>
      </c>
      <c r="N24" s="97">
        <f>H24/H23</f>
        <v>1.0097137736613746</v>
      </c>
      <c r="P24" s="112">
        <f>R3-R2</f>
        <v>243</v>
      </c>
      <c r="X24" t="s">
        <v>25</v>
      </c>
    </row>
    <row r="25" spans="1:24">
      <c r="A25" s="60" t="s">
        <v>6465</v>
      </c>
      <c r="B25" s="60" t="s">
        <v>4357</v>
      </c>
      <c r="C25" s="49">
        <v>14500</v>
      </c>
      <c r="D25" s="60">
        <v>32</v>
      </c>
      <c r="E25" s="150" t="s">
        <v>5925</v>
      </c>
      <c r="F25" s="230">
        <v>1973</v>
      </c>
      <c r="G25" s="150">
        <f t="shared" si="0"/>
        <v>232.22829744562071</v>
      </c>
      <c r="H25" s="150">
        <f t="shared" si="1"/>
        <v>7.3492143943233659</v>
      </c>
      <c r="I25" s="150">
        <f>$R$4/$R$1</f>
        <v>7.9933847850055129</v>
      </c>
      <c r="J25" s="97">
        <f t="shared" si="2"/>
        <v>1.087651598676957</v>
      </c>
      <c r="K25" s="97">
        <f t="shared" si="3"/>
        <v>-10.618793715154595</v>
      </c>
      <c r="L25" s="97"/>
      <c r="M25" s="97"/>
      <c r="N25" s="97">
        <v>1</v>
      </c>
    </row>
    <row r="26" spans="1:24" ht="21">
      <c r="A26" s="60" t="s">
        <v>6480</v>
      </c>
      <c r="B26" s="60" t="s">
        <v>4357</v>
      </c>
      <c r="C26" s="49">
        <v>14503</v>
      </c>
      <c r="D26" s="60">
        <v>200</v>
      </c>
      <c r="E26" s="150" t="s">
        <v>5925</v>
      </c>
      <c r="F26" s="230">
        <v>1898</v>
      </c>
      <c r="G26" s="150">
        <f t="shared" si="0"/>
        <v>1509.0925581296149</v>
      </c>
      <c r="H26" s="150">
        <f t="shared" si="1"/>
        <v>7.6412012644889353</v>
      </c>
      <c r="I26" s="150">
        <f>$R$4/$R$1</f>
        <v>7.9933847850055129</v>
      </c>
      <c r="J26" s="97">
        <f t="shared" si="2"/>
        <v>1.0460900725326114</v>
      </c>
      <c r="K26" s="320">
        <f t="shared" si="3"/>
        <v>-6.9659372842556744</v>
      </c>
      <c r="L26" s="97" t="s">
        <v>25</v>
      </c>
      <c r="M26" s="97" t="s">
        <v>25</v>
      </c>
      <c r="N26" s="97">
        <f>H26/H25</f>
        <v>1.039730351368046</v>
      </c>
      <c r="P26">
        <v>235</v>
      </c>
      <c r="R26" t="s">
        <v>25</v>
      </c>
      <c r="X26" t="s">
        <v>25</v>
      </c>
    </row>
    <row r="27" spans="1:24">
      <c r="A27" s="276" t="s">
        <v>6470</v>
      </c>
      <c r="B27" s="276" t="s">
        <v>4219</v>
      </c>
      <c r="C27" s="278">
        <v>1038</v>
      </c>
      <c r="D27" s="276">
        <v>100000</v>
      </c>
      <c r="E27" s="150" t="s">
        <v>5925</v>
      </c>
      <c r="F27" s="150">
        <v>1955</v>
      </c>
      <c r="G27" s="150">
        <f t="shared" si="0"/>
        <v>52429.393600945587</v>
      </c>
      <c r="H27" s="150">
        <f t="shared" si="1"/>
        <v>0.53094629156010231</v>
      </c>
      <c r="I27" s="150">
        <f>$R$2/$R$1</f>
        <v>0.55512679162072764</v>
      </c>
      <c r="J27" s="97">
        <f t="shared" si="2"/>
        <v>1.0455422713087885</v>
      </c>
      <c r="K27" s="97">
        <f t="shared" si="3"/>
        <v>-6.9158517487561415</v>
      </c>
      <c r="L27" s="97"/>
      <c r="M27" s="97"/>
      <c r="N27" s="97">
        <v>1</v>
      </c>
      <c r="R27">
        <f>369/G22</f>
        <v>0.99809944132821049</v>
      </c>
    </row>
    <row r="28" spans="1:24">
      <c r="A28" s="276" t="s">
        <v>6495</v>
      </c>
      <c r="B28" s="276" t="s">
        <v>4219</v>
      </c>
      <c r="C28" s="278">
        <v>1028</v>
      </c>
      <c r="D28" s="276">
        <v>12246</v>
      </c>
      <c r="E28" s="150" t="s">
        <v>5925</v>
      </c>
      <c r="F28" s="150">
        <v>1862</v>
      </c>
      <c r="G28" s="150">
        <f t="shared" ref="G28" si="6">C28*D28*0.99114/(F28*1.0037158)</f>
        <v>6676.2399315934426</v>
      </c>
      <c r="H28" s="150">
        <f t="shared" ref="H28" si="7">C28/F28</f>
        <v>0.55209452201933407</v>
      </c>
      <c r="I28" s="150">
        <f>$R$2/$R$1</f>
        <v>0.55512679162072764</v>
      </c>
      <c r="J28" s="97">
        <f>I28/H28</f>
        <v>1.0054923015542752</v>
      </c>
      <c r="K28" s="97">
        <f>(1/J28-1.0256)*100</f>
        <v>-3.1062300950276067</v>
      </c>
      <c r="L28" s="97"/>
      <c r="M28" s="97"/>
      <c r="N28" s="97">
        <f>H28/H27</f>
        <v>1.0398312047666649</v>
      </c>
    </row>
    <row r="29" spans="1:24">
      <c r="A29" s="276" t="s">
        <v>6537</v>
      </c>
      <c r="B29" s="276" t="s">
        <v>4219</v>
      </c>
      <c r="C29" s="278">
        <v>1030</v>
      </c>
      <c r="D29" s="276">
        <v>2552</v>
      </c>
      <c r="E29" s="150" t="s">
        <v>5925</v>
      </c>
      <c r="F29" s="150">
        <v>1806</v>
      </c>
      <c r="G29" s="150">
        <f t="shared" ref="G29" si="8">C29*D29*0.99114/(F29*1.0037158)</f>
        <v>1437.2237712198712</v>
      </c>
      <c r="H29" s="150">
        <f t="shared" ref="H29" si="9">C29/F29</f>
        <v>0.57032115171650055</v>
      </c>
      <c r="I29" s="150">
        <f>$R$2/$R$1</f>
        <v>0.55512679162072764</v>
      </c>
      <c r="J29" s="97">
        <f t="shared" ref="J29" si="10">I29/H29</f>
        <v>0.97335823851168357</v>
      </c>
      <c r="K29" s="97">
        <f>(1/J29-1.0256)*100</f>
        <v>0.17709724068839527</v>
      </c>
      <c r="L29" s="97"/>
      <c r="M29" s="97"/>
      <c r="N29" s="97">
        <f>H29/H28</f>
        <v>1.0330136035954514</v>
      </c>
      <c r="S29" t="s">
        <v>25</v>
      </c>
    </row>
    <row r="30" spans="1:24">
      <c r="A30" s="297" t="s">
        <v>5874</v>
      </c>
      <c r="B30" s="297" t="s">
        <v>5280</v>
      </c>
      <c r="C30" s="297">
        <v>1461.2</v>
      </c>
      <c r="D30" s="297">
        <v>8502</v>
      </c>
      <c r="E30" s="23" t="s">
        <v>5876</v>
      </c>
      <c r="F30" s="35">
        <v>410</v>
      </c>
      <c r="G30" s="23">
        <f>C30*D30*0.99114/(F30*1.00103)</f>
        <v>30000.936926516904</v>
      </c>
      <c r="H30" s="23">
        <f>C30/F30</f>
        <v>3.5639024390243903</v>
      </c>
      <c r="I30" s="23">
        <f>$R$3/$R$8</f>
        <v>6.25</v>
      </c>
      <c r="J30" s="97">
        <f>I30/H30</f>
        <v>1.7536955926635642</v>
      </c>
      <c r="K30" s="97">
        <f>(1/J30-1.0146358)*100</f>
        <v>-44.441140975609748</v>
      </c>
      <c r="L30" s="97"/>
      <c r="M30" s="97"/>
      <c r="N30" s="97">
        <v>1</v>
      </c>
      <c r="S30" t="s">
        <v>25</v>
      </c>
    </row>
    <row r="31" spans="1:24">
      <c r="A31" s="60" t="s">
        <v>5886</v>
      </c>
      <c r="B31" s="60" t="s">
        <v>4357</v>
      </c>
      <c r="C31" s="49">
        <v>15396.7</v>
      </c>
      <c r="D31" s="60">
        <v>835.71</v>
      </c>
      <c r="E31" s="302" t="s">
        <v>5887</v>
      </c>
      <c r="F31" s="319">
        <v>490</v>
      </c>
      <c r="G31" s="302">
        <f>C31*D31*0.99114/(F31*1.00103)</f>
        <v>26000.103518373991</v>
      </c>
      <c r="H31" s="302">
        <f t="shared" si="1"/>
        <v>31.42183673469388</v>
      </c>
      <c r="I31" s="302">
        <f>$R$4/$R$6</f>
        <v>36.25</v>
      </c>
      <c r="J31" s="97">
        <f t="shared" si="2"/>
        <v>1.1536563029740139</v>
      </c>
      <c r="K31" s="97">
        <f>(1/J31-1.0146358)*100</f>
        <v>-14.782651076706543</v>
      </c>
      <c r="L31" s="97"/>
      <c r="M31" s="97"/>
      <c r="N31" s="97">
        <v>1</v>
      </c>
      <c r="R31" t="s">
        <v>25</v>
      </c>
    </row>
    <row r="32" spans="1:24">
      <c r="A32" s="94"/>
      <c r="B32" s="113"/>
      <c r="C32" s="113"/>
      <c r="D32" s="94"/>
      <c r="E32" s="94"/>
      <c r="F32" s="94"/>
      <c r="G32" s="94"/>
      <c r="H32" s="94"/>
      <c r="I32" s="94"/>
      <c r="J32" s="94"/>
      <c r="K32" s="94"/>
      <c r="L32" s="94"/>
      <c r="M32" s="94"/>
      <c r="N32" s="94"/>
      <c r="R32" t="s">
        <v>25</v>
      </c>
    </row>
    <row r="33" spans="1:20">
      <c r="A33" s="276" t="s">
        <v>6480</v>
      </c>
      <c r="B33" s="276" t="s">
        <v>4219</v>
      </c>
      <c r="C33" s="278">
        <v>1019</v>
      </c>
      <c r="D33" s="276">
        <v>10000</v>
      </c>
      <c r="E33" s="302" t="s">
        <v>5887</v>
      </c>
      <c r="F33" s="319">
        <v>390</v>
      </c>
      <c r="G33" s="302">
        <v>10000</v>
      </c>
      <c r="H33" s="302"/>
      <c r="I33" s="319">
        <f>C33*D33*0.99114-F33*G33*1.00125</f>
        <v>6194841.5999999996</v>
      </c>
      <c r="J33" s="97">
        <f>(G33*$R$6*0.99875+I33)/(R2*1.0037158)</f>
        <v>10081.547525921651</v>
      </c>
      <c r="K33" s="97">
        <f>J33-D33</f>
        <v>81.547525921650958</v>
      </c>
      <c r="L33" s="97"/>
      <c r="M33" s="97"/>
      <c r="N33" s="97"/>
      <c r="T33" t="s">
        <v>25</v>
      </c>
    </row>
    <row r="34" spans="1:20">
      <c r="A34" s="276" t="s">
        <v>6504</v>
      </c>
      <c r="B34" s="276" t="s">
        <v>4219</v>
      </c>
      <c r="C34" s="278">
        <v>990</v>
      </c>
      <c r="D34" s="276">
        <v>4000</v>
      </c>
      <c r="E34" s="302" t="s">
        <v>5887</v>
      </c>
      <c r="F34" s="319">
        <v>360</v>
      </c>
      <c r="G34" s="302">
        <v>4000</v>
      </c>
      <c r="H34" s="302"/>
      <c r="I34" s="319">
        <f>C34*D34*0.99114-F34*G34*1.00125</f>
        <v>2483114.4</v>
      </c>
      <c r="J34" s="97">
        <f>(G34*$R$6*0.99875+I34)/(R2*1.0037158)</f>
        <v>4037.741742945565</v>
      </c>
      <c r="K34" s="97">
        <f>J34-D34</f>
        <v>37.741742945564965</v>
      </c>
      <c r="L34" s="97"/>
      <c r="M34" s="97"/>
      <c r="N34" s="97"/>
      <c r="P34">
        <f>C33/F33</f>
        <v>2.6128205128205129</v>
      </c>
      <c r="Q34">
        <f>R2/R6</f>
        <v>2.5175000000000001</v>
      </c>
    </row>
    <row r="35" spans="1:20">
      <c r="A35" s="276" t="s">
        <v>6512</v>
      </c>
      <c r="B35" s="276" t="s">
        <v>4219</v>
      </c>
      <c r="C35" s="278">
        <v>930</v>
      </c>
      <c r="D35" s="276">
        <v>158000</v>
      </c>
      <c r="E35" s="302" t="s">
        <v>5887</v>
      </c>
      <c r="F35" s="319">
        <v>300</v>
      </c>
      <c r="G35" s="302">
        <v>158000</v>
      </c>
      <c r="H35" s="302"/>
      <c r="I35" s="319">
        <f>C35*D35*0.99114-F35*G35*1.00125</f>
        <v>98178861.599999994</v>
      </c>
      <c r="J35" s="97">
        <f>(G35*$R$6*0.99875+I35)/(R2*1.0037158)</f>
        <v>159585.62306257879</v>
      </c>
      <c r="K35" s="97">
        <f>J35-D35</f>
        <v>1585.6230625787866</v>
      </c>
      <c r="L35" s="97"/>
      <c r="M35" s="97"/>
      <c r="N35" s="97"/>
      <c r="P35" s="112">
        <f>C33-F33</f>
        <v>629</v>
      </c>
      <c r="Q35" s="112">
        <f>R2-R6</f>
        <v>607</v>
      </c>
    </row>
    <row r="36" spans="1:20">
      <c r="A36" s="276" t="s">
        <v>6504</v>
      </c>
      <c r="B36" s="276" t="s">
        <v>4219</v>
      </c>
      <c r="C36" s="278">
        <v>993</v>
      </c>
      <c r="D36" s="276">
        <v>8000</v>
      </c>
      <c r="E36" s="323" t="s">
        <v>6505</v>
      </c>
      <c r="F36" s="324">
        <v>260</v>
      </c>
      <c r="G36" s="323">
        <v>8000</v>
      </c>
      <c r="H36" s="323"/>
      <c r="I36" s="319">
        <f>C36*D36*0.99114-F36*G36*1.00125</f>
        <v>5791016.1600000001</v>
      </c>
      <c r="J36" s="97">
        <f>(G36*$R$7*0.99875+I36)/(R2*1.0037158)</f>
        <v>8100.9967868445083</v>
      </c>
      <c r="K36" s="97">
        <f>J36-D36</f>
        <v>100.99678684450828</v>
      </c>
      <c r="L36" s="97"/>
      <c r="M36" s="97"/>
      <c r="N36" s="97"/>
    </row>
    <row r="37" spans="1:20">
      <c r="A37" s="94"/>
      <c r="B37" s="94"/>
      <c r="C37" s="94"/>
      <c r="D37" s="94"/>
      <c r="E37" s="94"/>
      <c r="F37" s="94"/>
      <c r="G37" s="94" t="s">
        <v>6542</v>
      </c>
      <c r="H37" s="94"/>
      <c r="I37" s="94"/>
      <c r="J37" s="94"/>
      <c r="K37" s="94"/>
      <c r="L37" s="94"/>
      <c r="M37" s="94"/>
      <c r="N37" s="94"/>
    </row>
    <row r="38" spans="1:20">
      <c r="A38" s="113"/>
      <c r="B38" s="113"/>
      <c r="C38" s="113"/>
      <c r="D38" s="113"/>
      <c r="E38" s="113"/>
      <c r="F38" s="113"/>
      <c r="G38" s="113"/>
      <c r="H38" s="113"/>
      <c r="I38" s="113"/>
      <c r="J38" s="113"/>
      <c r="K38" s="113"/>
      <c r="L38" s="113"/>
      <c r="M38" s="113"/>
      <c r="N38" s="113"/>
    </row>
    <row r="39" spans="1:20">
      <c r="A39" s="97" t="s">
        <v>5537</v>
      </c>
      <c r="B39" s="97"/>
      <c r="C39" s="97"/>
      <c r="D39" s="97"/>
      <c r="E39" s="97"/>
      <c r="F39" s="97"/>
      <c r="G39" s="97"/>
      <c r="H39" s="97"/>
      <c r="I39" s="97"/>
      <c r="J39" s="97"/>
      <c r="K39" s="97"/>
      <c r="L39" s="97"/>
      <c r="M39" s="97"/>
      <c r="N39" s="97"/>
    </row>
    <row r="40" spans="1:20">
      <c r="A40" s="274" t="s">
        <v>5764</v>
      </c>
      <c r="B40" s="274" t="s">
        <v>4361</v>
      </c>
      <c r="C40" s="274">
        <v>21532</v>
      </c>
      <c r="D40" s="274">
        <v>1859</v>
      </c>
      <c r="E40" s="276" t="s">
        <v>4219</v>
      </c>
      <c r="F40" s="276">
        <v>1187</v>
      </c>
      <c r="G40" s="276">
        <f>C40*D40*0.99114/(F40*1.0037158)</f>
        <v>33299.467209851166</v>
      </c>
      <c r="H40" s="276">
        <f>C40/F40</f>
        <v>18.139848357203032</v>
      </c>
      <c r="I40" s="276">
        <f>$R$5/$R$2</f>
        <v>20.556107249255213</v>
      </c>
      <c r="J40" s="97">
        <f>I40/H40</f>
        <v>1.1332017139543906</v>
      </c>
      <c r="K40" s="97">
        <f>(1/J40-1.0256)*100</f>
        <v>-14.314457508678979</v>
      </c>
      <c r="L40" s="97"/>
      <c r="M40" s="97"/>
      <c r="N40" s="97">
        <v>1</v>
      </c>
    </row>
    <row r="41" spans="1:20">
      <c r="A41" s="274" t="s">
        <v>5770</v>
      </c>
      <c r="B41" s="274" t="s">
        <v>4361</v>
      </c>
      <c r="C41" s="274">
        <v>22420.1</v>
      </c>
      <c r="D41" s="274">
        <v>1000</v>
      </c>
      <c r="E41" s="276" t="s">
        <v>4219</v>
      </c>
      <c r="F41" s="276">
        <v>1161</v>
      </c>
      <c r="G41" s="276">
        <f>C41*D41*0.99114/(F41*1.0037158)</f>
        <v>19069.072437793271</v>
      </c>
      <c r="H41" s="276">
        <f>C41/F41</f>
        <v>19.311024978466836</v>
      </c>
      <c r="I41" s="276">
        <f>$R$5/$R$2</f>
        <v>20.556107249255213</v>
      </c>
      <c r="J41" s="97">
        <f>I41/H41</f>
        <v>1.0644752037852332</v>
      </c>
      <c r="K41" s="97">
        <f>(1/J41-1.0256)*100</f>
        <v>-8.6169944284246291</v>
      </c>
      <c r="L41" s="97" t="s">
        <v>25</v>
      </c>
      <c r="M41" s="97"/>
      <c r="N41" s="97">
        <f>H41/H40</f>
        <v>1.064563749277361</v>
      </c>
    </row>
    <row r="42" spans="1:20">
      <c r="A42" s="274" t="s">
        <v>5772</v>
      </c>
      <c r="B42" s="274" t="s">
        <v>4361</v>
      </c>
      <c r="C42" s="274">
        <v>23233.1</v>
      </c>
      <c r="D42" s="274">
        <v>1000</v>
      </c>
      <c r="E42" s="276" t="s">
        <v>4219</v>
      </c>
      <c r="F42" s="276">
        <v>1152</v>
      </c>
      <c r="G42" s="276">
        <f>C42*D42*0.99114/(F42*1.0037158)</f>
        <v>19914.936480069027</v>
      </c>
      <c r="H42" s="276">
        <f>C42/F42</f>
        <v>20.167621527777776</v>
      </c>
      <c r="I42" s="276">
        <f>$R$5/$R$2</f>
        <v>20.556107249255213</v>
      </c>
      <c r="J42" s="97">
        <f>I42/H42</f>
        <v>1.0192628427175885</v>
      </c>
      <c r="K42" s="97">
        <f>(1/J42-1.0256)*100</f>
        <v>-4.4498798141438538</v>
      </c>
      <c r="L42" s="97"/>
      <c r="M42" s="97"/>
      <c r="N42" s="97">
        <f>H42/H41</f>
        <v>1.0443579017823292</v>
      </c>
      <c r="R42" t="s">
        <v>25</v>
      </c>
    </row>
    <row r="43" spans="1:20">
      <c r="A43" s="274" t="s">
        <v>5774</v>
      </c>
      <c r="B43" s="274" t="s">
        <v>4361</v>
      </c>
      <c r="C43" s="274">
        <v>23900</v>
      </c>
      <c r="D43" s="274">
        <v>1000</v>
      </c>
      <c r="E43" s="276" t="s">
        <v>4219</v>
      </c>
      <c r="F43" s="276">
        <v>1153</v>
      </c>
      <c r="G43" s="276">
        <f>C43*D43*0.99114/(F43*1.0037158)</f>
        <v>20468.821398374203</v>
      </c>
      <c r="H43" s="276">
        <f>C43/F43</f>
        <v>20.7285342584562</v>
      </c>
      <c r="I43" s="276">
        <f>$R$5/$R$2</f>
        <v>20.556107249255213</v>
      </c>
      <c r="J43" s="97">
        <f>I43/H43</f>
        <v>0.99168165934691466</v>
      </c>
      <c r="K43" s="97">
        <f>(1/J43-1.0256)*100</f>
        <v>-1.721188414176833</v>
      </c>
      <c r="L43" s="97"/>
      <c r="M43" s="97"/>
      <c r="N43" s="97">
        <f>H43/H42</f>
        <v>1.0278125375322942</v>
      </c>
    </row>
    <row r="44" spans="1:20">
      <c r="A44" s="274" t="s">
        <v>5787</v>
      </c>
      <c r="B44" s="274" t="s">
        <v>4361</v>
      </c>
      <c r="C44" s="274">
        <v>22500</v>
      </c>
      <c r="D44" s="274">
        <v>2000</v>
      </c>
      <c r="E44" s="276" t="s">
        <v>4219</v>
      </c>
      <c r="F44" s="276">
        <v>1093</v>
      </c>
      <c r="G44" s="276">
        <f>C44*D44*0.99114/(F44*1.0037158)</f>
        <v>40655.246136679802</v>
      </c>
      <c r="H44" s="276">
        <f>C44/F44</f>
        <v>20.585544373284538</v>
      </c>
      <c r="I44" s="276">
        <f>$R$5/$R$2</f>
        <v>20.556107249255213</v>
      </c>
      <c r="J44" s="97">
        <f>I44/H44</f>
        <v>0.99857000993048661</v>
      </c>
      <c r="K44" s="97">
        <f>(1/J44-1.0256)*100</f>
        <v>-2.4167962130554166</v>
      </c>
      <c r="L44" s="97"/>
      <c r="M44" s="97"/>
      <c r="N44" s="97">
        <f>H44/H43</f>
        <v>0.99310178503753443</v>
      </c>
    </row>
    <row r="45" spans="1:20">
      <c r="A45" s="94"/>
      <c r="N45" s="94"/>
    </row>
    <row r="46" spans="1:20">
      <c r="A46" s="94"/>
      <c r="N46" s="94"/>
    </row>
    <row r="47" spans="1:20">
      <c r="A47" s="94"/>
    </row>
    <row r="48" spans="1:20">
      <c r="A48" s="97"/>
      <c r="B48" s="97"/>
      <c r="C48" s="97"/>
      <c r="D48" s="97"/>
    </row>
    <row r="49" spans="1:19">
      <c r="A49" s="97" t="s">
        <v>5887</v>
      </c>
      <c r="B49" s="97">
        <v>620</v>
      </c>
      <c r="C49" s="97">
        <v>199000</v>
      </c>
      <c r="D49" s="93">
        <f>C49*B49</f>
        <v>123380000</v>
      </c>
    </row>
    <row r="50" spans="1:19">
      <c r="A50" s="97" t="s">
        <v>6505</v>
      </c>
      <c r="B50" s="97">
        <v>720</v>
      </c>
      <c r="C50" s="97">
        <v>8000</v>
      </c>
      <c r="D50" s="93">
        <f t="shared" ref="D50:D51" si="11">C50*B50</f>
        <v>5760000</v>
      </c>
      <c r="J50" t="s">
        <v>25</v>
      </c>
    </row>
    <row r="51" spans="1:19">
      <c r="A51" s="97" t="s">
        <v>5876</v>
      </c>
      <c r="B51" s="97">
        <v>820</v>
      </c>
      <c r="C51" s="97">
        <v>0</v>
      </c>
      <c r="D51" s="93">
        <f t="shared" si="11"/>
        <v>0</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129140000</v>
      </c>
    </row>
    <row r="61" spans="1:19">
      <c r="A61" s="97"/>
      <c r="B61" s="97"/>
      <c r="C61" s="97"/>
      <c r="D61" s="97"/>
    </row>
    <row r="62" spans="1:19">
      <c r="A62" s="97" t="s">
        <v>6522</v>
      </c>
      <c r="B62" s="93">
        <v>88000000</v>
      </c>
      <c r="C62" s="97"/>
      <c r="D62" s="97"/>
    </row>
    <row r="63" spans="1:19">
      <c r="A63" s="97"/>
      <c r="B63" s="97"/>
      <c r="C63" s="97"/>
      <c r="D63" s="97"/>
      <c r="S63" s="94"/>
    </row>
    <row r="64" spans="1:19">
      <c r="A64" s="97" t="s">
        <v>4595</v>
      </c>
      <c r="B64" s="93">
        <f>D60-B62</f>
        <v>41140000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A88" s="94"/>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5938</v>
      </c>
      <c r="B1" s="207" t="s">
        <v>4422</v>
      </c>
      <c r="C1" s="207" t="s">
        <v>6458</v>
      </c>
      <c r="D1" s="207" t="s">
        <v>5937</v>
      </c>
      <c r="E1" s="207" t="s">
        <v>4835</v>
      </c>
      <c r="F1" s="207" t="s">
        <v>5940</v>
      </c>
      <c r="G1" s="207" t="s">
        <v>5942</v>
      </c>
      <c r="H1" s="207"/>
      <c r="I1" s="207"/>
      <c r="J1" s="207"/>
      <c r="K1" s="207"/>
      <c r="L1" s="207" t="s">
        <v>6459</v>
      </c>
      <c r="M1" s="207">
        <v>10000000000</v>
      </c>
      <c r="N1" s="207"/>
      <c r="O1" s="207"/>
      <c r="P1" s="207"/>
      <c r="Q1" s="207"/>
      <c r="R1" s="207"/>
      <c r="S1" s="207"/>
      <c r="T1" s="207"/>
      <c r="U1" s="207"/>
      <c r="V1" s="207"/>
      <c r="W1" s="207"/>
      <c r="X1" s="207"/>
      <c r="Y1" s="207"/>
      <c r="Z1" s="207"/>
      <c r="AA1" s="207"/>
      <c r="AB1" s="207"/>
      <c r="AC1" s="207"/>
    </row>
    <row r="2" spans="1:29">
      <c r="A2" s="207" t="s">
        <v>5957</v>
      </c>
      <c r="B2" s="207">
        <v>52293239</v>
      </c>
      <c r="C2" s="207">
        <f t="shared" ref="C2:C33" si="0">D2+E2</f>
        <v>2605542578</v>
      </c>
      <c r="D2" s="207" t="s">
        <v>5958</v>
      </c>
      <c r="E2" s="207" t="s">
        <v>5959</v>
      </c>
      <c r="F2" s="207" t="s">
        <v>5960</v>
      </c>
      <c r="G2" s="207" t="s">
        <v>5961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5944</v>
      </c>
      <c r="B3" s="313">
        <v>39356047</v>
      </c>
      <c r="C3" s="207">
        <f t="shared" si="0"/>
        <v>3355161798</v>
      </c>
      <c r="D3" s="207" t="s">
        <v>5946</v>
      </c>
      <c r="E3" s="207" t="s">
        <v>5947</v>
      </c>
      <c r="F3" s="207" t="s">
        <v>5949</v>
      </c>
      <c r="G3" s="207" t="s">
        <v>5950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5984</v>
      </c>
      <c r="B4" s="313">
        <v>27272507</v>
      </c>
      <c r="C4" s="207">
        <f t="shared" si="0"/>
        <v>2003857980</v>
      </c>
      <c r="D4" s="207" t="s">
        <v>5958</v>
      </c>
      <c r="E4" s="179" t="s">
        <v>5985</v>
      </c>
      <c r="F4" s="207" t="s">
        <v>5986</v>
      </c>
      <c r="G4" s="207" t="s">
        <v>5987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5988</v>
      </c>
      <c r="B5" s="313">
        <v>17936330</v>
      </c>
      <c r="C5" s="207">
        <f t="shared" si="0"/>
        <v>4161561525</v>
      </c>
      <c r="D5" s="207" t="s">
        <v>5958</v>
      </c>
      <c r="E5" s="207" t="s">
        <v>5989</v>
      </c>
      <c r="F5" s="207" t="s">
        <v>5990</v>
      </c>
      <c r="G5" s="207" t="s">
        <v>5991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5968</v>
      </c>
      <c r="B6" s="313">
        <v>15219631</v>
      </c>
      <c r="C6" s="207">
        <f t="shared" si="0"/>
        <v>1037466348</v>
      </c>
      <c r="D6" s="207" t="s">
        <v>5970</v>
      </c>
      <c r="E6" s="207" t="s">
        <v>5971</v>
      </c>
      <c r="F6" s="179" t="s">
        <v>5972</v>
      </c>
      <c r="G6" s="207" t="s">
        <v>5973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6018</v>
      </c>
      <c r="B7" s="313">
        <v>12077909</v>
      </c>
      <c r="C7" s="207">
        <f t="shared" si="0"/>
        <v>499499998</v>
      </c>
      <c r="D7" s="207" t="s">
        <v>5958</v>
      </c>
      <c r="E7" s="207" t="s">
        <v>6019</v>
      </c>
      <c r="F7" s="207" t="s">
        <v>6020</v>
      </c>
      <c r="G7" s="207" t="s">
        <v>6021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6051</v>
      </c>
      <c r="B8" s="313">
        <v>11039958</v>
      </c>
      <c r="C8" s="207">
        <f t="shared" si="0"/>
        <v>2802020000</v>
      </c>
      <c r="D8" s="207" t="s">
        <v>5958</v>
      </c>
      <c r="E8" s="207" t="s">
        <v>6052</v>
      </c>
      <c r="F8" s="207" t="s">
        <v>6053</v>
      </c>
      <c r="G8" s="207" t="s">
        <v>6054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6008</v>
      </c>
      <c r="B9" s="313">
        <v>6743250</v>
      </c>
      <c r="C9" s="207">
        <f t="shared" si="0"/>
        <v>337500000</v>
      </c>
      <c r="D9" s="207" t="s">
        <v>5958</v>
      </c>
      <c r="E9" s="207" t="s">
        <v>6010</v>
      </c>
      <c r="F9" s="207" t="s">
        <v>6011</v>
      </c>
      <c r="G9" s="207" t="s">
        <v>6012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6042</v>
      </c>
      <c r="B10" s="313">
        <v>6591899</v>
      </c>
      <c r="C10" s="207">
        <f t="shared" si="0"/>
        <v>978026662</v>
      </c>
      <c r="D10" s="207" t="s">
        <v>5958</v>
      </c>
      <c r="E10" s="207" t="s">
        <v>6043</v>
      </c>
      <c r="F10" s="207" t="s">
        <v>6044</v>
      </c>
      <c r="G10" s="207" t="s">
        <v>6045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5951</v>
      </c>
      <c r="B11" s="313">
        <v>6515494</v>
      </c>
      <c r="C11" s="207">
        <f t="shared" si="0"/>
        <v>137024073</v>
      </c>
      <c r="D11" s="207" t="s">
        <v>5953</v>
      </c>
      <c r="E11" s="207" t="s">
        <v>5954</v>
      </c>
      <c r="F11" s="207" t="s">
        <v>5955</v>
      </c>
      <c r="G11" s="207" t="s">
        <v>5956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5962</v>
      </c>
      <c r="B12" s="313">
        <v>5962560</v>
      </c>
      <c r="C12" s="207">
        <f t="shared" si="0"/>
        <v>1242200000</v>
      </c>
      <c r="D12" s="207" t="s">
        <v>5964</v>
      </c>
      <c r="E12" s="207" t="s">
        <v>5965</v>
      </c>
      <c r="F12" s="207" t="s">
        <v>5966</v>
      </c>
      <c r="G12" s="207" t="s">
        <v>5967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6087</v>
      </c>
      <c r="B13" s="313">
        <v>4690527</v>
      </c>
      <c r="C13" s="207">
        <f t="shared" si="0"/>
        <v>623740333</v>
      </c>
      <c r="D13" s="207" t="s">
        <v>5958</v>
      </c>
      <c r="E13" s="207" t="s">
        <v>6088</v>
      </c>
      <c r="F13" s="207" t="s">
        <v>6089</v>
      </c>
      <c r="G13" s="207" t="s">
        <v>6090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6083</v>
      </c>
      <c r="B14" s="313">
        <v>4423541</v>
      </c>
      <c r="C14" s="207">
        <f t="shared" si="0"/>
        <v>118276522</v>
      </c>
      <c r="D14" s="207" t="s">
        <v>5958</v>
      </c>
      <c r="E14" s="207" t="s">
        <v>6084</v>
      </c>
      <c r="F14" s="207" t="s">
        <v>6085</v>
      </c>
      <c r="G14" s="207" t="s">
        <v>6086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6280</v>
      </c>
      <c r="B15" s="313">
        <v>4228226</v>
      </c>
      <c r="C15" s="207">
        <f t="shared" si="0"/>
        <v>106322321</v>
      </c>
      <c r="D15" s="207" t="s">
        <v>5958</v>
      </c>
      <c r="E15" s="207" t="s">
        <v>6281</v>
      </c>
      <c r="F15" s="207" t="s">
        <v>5958</v>
      </c>
      <c r="G15" s="207" t="s">
        <v>6282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6096</v>
      </c>
      <c r="B16" s="313">
        <v>3555770</v>
      </c>
      <c r="C16" s="207">
        <f t="shared" si="0"/>
        <v>183381668</v>
      </c>
      <c r="D16" s="207" t="s">
        <v>5958</v>
      </c>
      <c r="E16" s="207" t="s">
        <v>6097</v>
      </c>
      <c r="F16" s="207" t="s">
        <v>6098</v>
      </c>
      <c r="G16" s="207" t="s">
        <v>6099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6069</v>
      </c>
      <c r="B17" s="313">
        <v>3392316</v>
      </c>
      <c r="C17" s="207">
        <f t="shared" si="0"/>
        <v>1015663732</v>
      </c>
      <c r="D17" s="207" t="s">
        <v>5958</v>
      </c>
      <c r="E17" s="207" t="s">
        <v>6070</v>
      </c>
      <c r="F17" s="207" t="s">
        <v>6071</v>
      </c>
      <c r="G17" s="207" t="s">
        <v>6072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5992</v>
      </c>
      <c r="B18" s="313">
        <v>3321096</v>
      </c>
      <c r="C18" s="207">
        <f t="shared" si="0"/>
        <v>254880755</v>
      </c>
      <c r="D18" s="207" t="s">
        <v>5958</v>
      </c>
      <c r="E18" s="207" t="s">
        <v>5993</v>
      </c>
      <c r="F18" s="207" t="s">
        <v>5994</v>
      </c>
      <c r="G18" s="207" t="s">
        <v>5995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6038</v>
      </c>
      <c r="B19" s="313">
        <v>2708729</v>
      </c>
      <c r="C19" s="207">
        <f t="shared" si="0"/>
        <v>158220192</v>
      </c>
      <c r="D19" s="207" t="s">
        <v>5958</v>
      </c>
      <c r="E19" s="207" t="s">
        <v>6039</v>
      </c>
      <c r="F19" s="207" t="s">
        <v>6040</v>
      </c>
      <c r="G19" s="207" t="s">
        <v>6041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5980</v>
      </c>
      <c r="B20" s="313">
        <v>2623529</v>
      </c>
      <c r="C20" s="207">
        <f t="shared" si="0"/>
        <v>101805550</v>
      </c>
      <c r="D20" s="207" t="s">
        <v>5958</v>
      </c>
      <c r="E20" s="207" t="s">
        <v>5981</v>
      </c>
      <c r="F20" s="207" t="s">
        <v>5982</v>
      </c>
      <c r="G20" s="207" t="s">
        <v>5983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5974</v>
      </c>
      <c r="B21" s="313">
        <v>2224069</v>
      </c>
      <c r="C21" s="207">
        <f t="shared" si="0"/>
        <v>30270982</v>
      </c>
      <c r="D21" s="207" t="s">
        <v>5976</v>
      </c>
      <c r="E21" s="207" t="s">
        <v>5977</v>
      </c>
      <c r="F21" s="207" t="s">
        <v>5978</v>
      </c>
      <c r="G21" s="207" t="s">
        <v>5979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6100</v>
      </c>
      <c r="B22" s="314" t="s">
        <v>6101</v>
      </c>
      <c r="C22" s="207">
        <f t="shared" si="0"/>
        <v>114588426</v>
      </c>
      <c r="D22" s="207" t="s">
        <v>5958</v>
      </c>
      <c r="E22" s="207" t="s">
        <v>6102</v>
      </c>
      <c r="F22" s="207" t="s">
        <v>6103</v>
      </c>
      <c r="G22" s="207" t="s">
        <v>6104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6055</v>
      </c>
      <c r="B23" s="314" t="s">
        <v>6056</v>
      </c>
      <c r="C23" s="207">
        <f t="shared" si="0"/>
        <v>735760160</v>
      </c>
      <c r="D23" s="207" t="s">
        <v>6058</v>
      </c>
      <c r="E23" s="207" t="s">
        <v>6059</v>
      </c>
      <c r="F23" s="207" t="s">
        <v>6060</v>
      </c>
      <c r="G23" s="207" t="s">
        <v>6061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6217</v>
      </c>
      <c r="B24" s="314" t="s">
        <v>6218</v>
      </c>
      <c r="C24" s="207">
        <f t="shared" si="0"/>
        <v>4044500</v>
      </c>
      <c r="D24" s="207" t="s">
        <v>5958</v>
      </c>
      <c r="E24" s="207" t="s">
        <v>6219</v>
      </c>
      <c r="F24" s="207" t="s">
        <v>6203</v>
      </c>
      <c r="G24" s="207" t="s">
        <v>6220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6129</v>
      </c>
      <c r="B25" s="314" t="s">
        <v>6130</v>
      </c>
      <c r="C25" s="207">
        <f t="shared" si="0"/>
        <v>53400000</v>
      </c>
      <c r="D25" s="207" t="s">
        <v>5958</v>
      </c>
      <c r="E25" s="207" t="s">
        <v>6131</v>
      </c>
      <c r="F25" s="207" t="s">
        <v>6132</v>
      </c>
      <c r="G25" s="207" t="s">
        <v>6133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6003</v>
      </c>
      <c r="B26" s="314" t="s">
        <v>6004</v>
      </c>
      <c r="C26" s="207">
        <f t="shared" si="0"/>
        <v>36391574</v>
      </c>
      <c r="D26" s="207" t="s">
        <v>5958</v>
      </c>
      <c r="E26" s="207" t="s">
        <v>6005</v>
      </c>
      <c r="F26" s="207" t="s">
        <v>6006</v>
      </c>
      <c r="G26" s="207" t="s">
        <v>6007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6046</v>
      </c>
      <c r="B27" s="314" t="s">
        <v>6047</v>
      </c>
      <c r="C27" s="207">
        <f t="shared" si="0"/>
        <v>29296590</v>
      </c>
      <c r="D27" s="207" t="s">
        <v>5958</v>
      </c>
      <c r="E27" s="207" t="s">
        <v>6048</v>
      </c>
      <c r="F27" s="207" t="s">
        <v>6049</v>
      </c>
      <c r="G27" s="207" t="s">
        <v>6050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6145</v>
      </c>
      <c r="B28" s="314" t="s">
        <v>6146</v>
      </c>
      <c r="C28" s="207">
        <f t="shared" si="0"/>
        <v>32151333</v>
      </c>
      <c r="D28" s="207" t="s">
        <v>5958</v>
      </c>
      <c r="E28" s="207" t="s">
        <v>6147</v>
      </c>
      <c r="F28" s="207" t="s">
        <v>6148</v>
      </c>
      <c r="G28" s="207" t="s">
        <v>6149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5996</v>
      </c>
      <c r="B29" s="314" t="s">
        <v>5997</v>
      </c>
      <c r="C29" s="207">
        <f t="shared" si="0"/>
        <v>23043086</v>
      </c>
      <c r="D29" s="207" t="s">
        <v>5999</v>
      </c>
      <c r="E29" s="207" t="s">
        <v>6000</v>
      </c>
      <c r="F29" s="207" t="s">
        <v>6001</v>
      </c>
      <c r="G29" s="207" t="s">
        <v>6002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6109</v>
      </c>
      <c r="B30" s="314" t="s">
        <v>6110</v>
      </c>
      <c r="C30" s="207">
        <f t="shared" si="0"/>
        <v>126674402</v>
      </c>
      <c r="D30" s="207" t="s">
        <v>5958</v>
      </c>
      <c r="E30" s="207" t="s">
        <v>6111</v>
      </c>
      <c r="F30" s="207" t="s">
        <v>6112</v>
      </c>
      <c r="G30" s="207" t="s">
        <v>6113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6078</v>
      </c>
      <c r="B31" s="314" t="s">
        <v>6079</v>
      </c>
      <c r="C31" s="207">
        <f t="shared" si="0"/>
        <v>182160000</v>
      </c>
      <c r="D31" s="207" t="s">
        <v>5958</v>
      </c>
      <c r="E31" s="207" t="s">
        <v>6080</v>
      </c>
      <c r="F31" s="207" t="s">
        <v>6081</v>
      </c>
      <c r="G31" s="207" t="s">
        <v>6082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6124</v>
      </c>
      <c r="B32" s="314" t="s">
        <v>6125</v>
      </c>
      <c r="C32" s="207">
        <f t="shared" si="0"/>
        <v>67919940</v>
      </c>
      <c r="D32" s="207" t="s">
        <v>5958</v>
      </c>
      <c r="E32" s="207" t="s">
        <v>6126</v>
      </c>
      <c r="F32" s="207" t="s">
        <v>6127</v>
      </c>
      <c r="G32" s="207" t="s">
        <v>6128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6150</v>
      </c>
      <c r="B33" s="314" t="s">
        <v>6151</v>
      </c>
      <c r="C33" s="207">
        <f t="shared" si="0"/>
        <v>29288000</v>
      </c>
      <c r="D33" s="207" t="s">
        <v>5958</v>
      </c>
      <c r="E33" s="207" t="s">
        <v>6152</v>
      </c>
      <c r="F33" s="207" t="s">
        <v>6153</v>
      </c>
      <c r="G33" s="207" t="s">
        <v>6154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6160</v>
      </c>
      <c r="B34" s="314" t="s">
        <v>6161</v>
      </c>
      <c r="C34" s="207">
        <f t="shared" ref="C34:C65" si="4">D34+E34</f>
        <v>259990000</v>
      </c>
      <c r="D34" s="207" t="s">
        <v>5958</v>
      </c>
      <c r="E34" s="207" t="s">
        <v>6162</v>
      </c>
      <c r="F34" s="207" t="s">
        <v>6163</v>
      </c>
      <c r="G34" s="207" t="s">
        <v>6164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6114</v>
      </c>
      <c r="B35" s="314" t="s">
        <v>6115</v>
      </c>
      <c r="C35" s="207">
        <f t="shared" si="4"/>
        <v>6208016</v>
      </c>
      <c r="D35" s="207" t="s">
        <v>5958</v>
      </c>
      <c r="E35" s="207" t="s">
        <v>6116</v>
      </c>
      <c r="F35" s="207" t="s">
        <v>6117</v>
      </c>
      <c r="G35" s="207" t="s">
        <v>6118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6026</v>
      </c>
      <c r="B36" s="314" t="s">
        <v>6027</v>
      </c>
      <c r="C36" s="207">
        <f t="shared" si="4"/>
        <v>39242697</v>
      </c>
      <c r="D36" s="207" t="s">
        <v>6028</v>
      </c>
      <c r="E36" s="207" t="s">
        <v>6029</v>
      </c>
      <c r="F36" s="207" t="s">
        <v>6030</v>
      </c>
      <c r="G36" s="207" t="s">
        <v>6031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6155</v>
      </c>
      <c r="B37" s="314" t="s">
        <v>6156</v>
      </c>
      <c r="C37" s="207">
        <f t="shared" si="4"/>
        <v>24338461</v>
      </c>
      <c r="D37" s="207" t="s">
        <v>5958</v>
      </c>
      <c r="E37" s="207" t="s">
        <v>6157</v>
      </c>
      <c r="F37" s="207" t="s">
        <v>6158</v>
      </c>
      <c r="G37" s="207" t="s">
        <v>6159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6032</v>
      </c>
      <c r="B38" s="314" t="s">
        <v>6033</v>
      </c>
      <c r="C38" s="207">
        <f t="shared" si="4"/>
        <v>35697979</v>
      </c>
      <c r="D38" s="207" t="s">
        <v>5958</v>
      </c>
      <c r="E38" s="207" t="s">
        <v>6035</v>
      </c>
      <c r="F38" s="207" t="s">
        <v>6036</v>
      </c>
      <c r="G38" s="207" t="s">
        <v>6037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6062</v>
      </c>
      <c r="B39" s="314" t="s">
        <v>6063</v>
      </c>
      <c r="C39" s="207">
        <f t="shared" si="4"/>
        <v>30949707</v>
      </c>
      <c r="D39" s="207" t="s">
        <v>6065</v>
      </c>
      <c r="E39" s="207" t="s">
        <v>6066</v>
      </c>
      <c r="F39" s="207" t="s">
        <v>6067</v>
      </c>
      <c r="G39" s="207" t="s">
        <v>6068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6022</v>
      </c>
      <c r="B40" s="314" t="s">
        <v>6023</v>
      </c>
      <c r="C40" s="207">
        <f t="shared" si="4"/>
        <v>11270740</v>
      </c>
      <c r="D40" s="207" t="s">
        <v>5958</v>
      </c>
      <c r="E40" s="207" t="s">
        <v>6024</v>
      </c>
      <c r="F40" s="207" t="s">
        <v>6025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6171</v>
      </c>
      <c r="B41" s="314" t="s">
        <v>6172</v>
      </c>
      <c r="C41" s="207">
        <f t="shared" si="4"/>
        <v>15600000</v>
      </c>
      <c r="D41" s="207" t="s">
        <v>5958</v>
      </c>
      <c r="E41" s="207" t="s">
        <v>6173</v>
      </c>
      <c r="F41" s="207" t="s">
        <v>6174</v>
      </c>
      <c r="G41" s="207" t="s">
        <v>6175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6013</v>
      </c>
      <c r="B42" s="314" t="s">
        <v>6014</v>
      </c>
      <c r="C42" s="207">
        <f t="shared" si="4"/>
        <v>14702520</v>
      </c>
      <c r="D42" s="207" t="s">
        <v>5958</v>
      </c>
      <c r="E42" s="207" t="s">
        <v>6015</v>
      </c>
      <c r="F42" s="207" t="s">
        <v>6016</v>
      </c>
      <c r="G42" s="207" t="s">
        <v>6017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6091</v>
      </c>
      <c r="B43" s="314" t="s">
        <v>6092</v>
      </c>
      <c r="C43" s="207">
        <f t="shared" si="4"/>
        <v>13930853</v>
      </c>
      <c r="D43" s="207" t="s">
        <v>5958</v>
      </c>
      <c r="E43" s="207" t="s">
        <v>6093</v>
      </c>
      <c r="F43" s="207" t="s">
        <v>6094</v>
      </c>
      <c r="G43" s="207" t="s">
        <v>6095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6073</v>
      </c>
      <c r="B44" s="314" t="s">
        <v>6074</v>
      </c>
      <c r="C44" s="207">
        <f t="shared" si="4"/>
        <v>68500000</v>
      </c>
      <c r="D44" s="207" t="s">
        <v>5958</v>
      </c>
      <c r="E44" s="207" t="s">
        <v>6075</v>
      </c>
      <c r="F44" s="207" t="s">
        <v>6076</v>
      </c>
      <c r="G44" s="207" t="s">
        <v>6077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6176</v>
      </c>
      <c r="B45" s="314" t="s">
        <v>6177</v>
      </c>
      <c r="C45" s="207">
        <f t="shared" si="4"/>
        <v>3000000</v>
      </c>
      <c r="D45" s="207" t="s">
        <v>5958</v>
      </c>
      <c r="E45" s="207" t="s">
        <v>6006</v>
      </c>
      <c r="F45" s="207" t="s">
        <v>6178</v>
      </c>
      <c r="G45" s="207" t="s">
        <v>6179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6195</v>
      </c>
      <c r="B46" s="314" t="s">
        <v>6196</v>
      </c>
      <c r="C46" s="207">
        <f t="shared" si="4"/>
        <v>12400000</v>
      </c>
      <c r="D46" s="207" t="s">
        <v>5958</v>
      </c>
      <c r="E46" s="207" t="s">
        <v>6197</v>
      </c>
      <c r="F46" s="207" t="s">
        <v>6198</v>
      </c>
      <c r="G46" s="207" t="s">
        <v>6199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6105</v>
      </c>
      <c r="B47" s="314" t="s">
        <v>6106</v>
      </c>
      <c r="C47" s="207">
        <f t="shared" si="4"/>
        <v>25000000</v>
      </c>
      <c r="D47" s="207" t="s">
        <v>5958</v>
      </c>
      <c r="E47" s="207" t="s">
        <v>6025</v>
      </c>
      <c r="F47" s="207" t="s">
        <v>6107</v>
      </c>
      <c r="G47" s="207" t="s">
        <v>6108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6180</v>
      </c>
      <c r="B48" s="314" t="s">
        <v>6181</v>
      </c>
      <c r="C48" s="207">
        <f t="shared" si="4"/>
        <v>29000000</v>
      </c>
      <c r="D48" s="207" t="s">
        <v>5958</v>
      </c>
      <c r="E48" s="207" t="s">
        <v>6182</v>
      </c>
      <c r="F48" s="207" t="s">
        <v>6183</v>
      </c>
      <c r="G48" s="207" t="s">
        <v>6184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6208</v>
      </c>
      <c r="B49" s="314" t="s">
        <v>6209</v>
      </c>
      <c r="C49" s="207">
        <f t="shared" si="4"/>
        <v>12691397</v>
      </c>
      <c r="D49" s="207" t="s">
        <v>5958</v>
      </c>
      <c r="E49" s="207" t="s">
        <v>6210</v>
      </c>
      <c r="F49" s="207" t="s">
        <v>6211</v>
      </c>
      <c r="G49" s="207" t="s">
        <v>6212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6200</v>
      </c>
      <c r="B50" s="314" t="s">
        <v>6201</v>
      </c>
      <c r="C50" s="207">
        <f t="shared" si="4"/>
        <v>4639508</v>
      </c>
      <c r="D50" s="207" t="s">
        <v>5958</v>
      </c>
      <c r="E50" s="207" t="s">
        <v>6202</v>
      </c>
      <c r="F50" s="207" t="s">
        <v>6203</v>
      </c>
      <c r="G50" s="207" t="s">
        <v>6204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6140</v>
      </c>
      <c r="B51" s="314" t="s">
        <v>6141</v>
      </c>
      <c r="C51" s="207">
        <f t="shared" si="4"/>
        <v>9242699</v>
      </c>
      <c r="D51" s="207" t="s">
        <v>5958</v>
      </c>
      <c r="E51" s="207" t="s">
        <v>6142</v>
      </c>
      <c r="F51" s="207" t="s">
        <v>6143</v>
      </c>
      <c r="G51" s="207" t="s">
        <v>6144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6134</v>
      </c>
      <c r="B52" s="314" t="s">
        <v>6135</v>
      </c>
      <c r="C52" s="207">
        <f t="shared" si="4"/>
        <v>12000000</v>
      </c>
      <c r="D52" s="207" t="s">
        <v>5958</v>
      </c>
      <c r="E52" s="207" t="s">
        <v>6137</v>
      </c>
      <c r="F52" s="207" t="s">
        <v>6138</v>
      </c>
      <c r="G52" s="207" t="s">
        <v>6139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6190</v>
      </c>
      <c r="B53" s="314" t="s">
        <v>6191</v>
      </c>
      <c r="C53" s="207">
        <f t="shared" si="4"/>
        <v>18333333</v>
      </c>
      <c r="D53" s="207" t="s">
        <v>5958</v>
      </c>
      <c r="E53" s="207" t="s">
        <v>6192</v>
      </c>
      <c r="F53" s="207" t="s">
        <v>6193</v>
      </c>
      <c r="G53" s="207" t="s">
        <v>6194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6165</v>
      </c>
      <c r="B54" s="314" t="s">
        <v>6166</v>
      </c>
      <c r="C54" s="207">
        <f t="shared" si="4"/>
        <v>10686057</v>
      </c>
      <c r="D54" s="207" t="s">
        <v>6167</v>
      </c>
      <c r="E54" s="207" t="s">
        <v>6168</v>
      </c>
      <c r="F54" s="207" t="s">
        <v>6169</v>
      </c>
      <c r="G54" s="207" t="s">
        <v>6170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6119</v>
      </c>
      <c r="B55" s="314" t="s">
        <v>6120</v>
      </c>
      <c r="C55" s="207">
        <f t="shared" si="4"/>
        <v>6210524</v>
      </c>
      <c r="D55" s="207" t="s">
        <v>5958</v>
      </c>
      <c r="E55" s="207" t="s">
        <v>6121</v>
      </c>
      <c r="F55" s="207" t="s">
        <v>6122</v>
      </c>
      <c r="G55" s="207" t="s">
        <v>6123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6244</v>
      </c>
      <c r="B56" s="314" t="s">
        <v>6245</v>
      </c>
      <c r="C56" s="207">
        <f t="shared" si="4"/>
        <v>2660000</v>
      </c>
      <c r="D56" s="207" t="s">
        <v>5958</v>
      </c>
      <c r="E56" s="207" t="s">
        <v>6246</v>
      </c>
      <c r="F56" s="207" t="s">
        <v>6247</v>
      </c>
      <c r="G56" s="207" t="s">
        <v>6248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6221</v>
      </c>
      <c r="B57" s="314" t="s">
        <v>6222</v>
      </c>
      <c r="C57" s="207">
        <f t="shared" si="4"/>
        <v>4333333</v>
      </c>
      <c r="D57" s="207" t="s">
        <v>5958</v>
      </c>
      <c r="E57" s="207" t="s">
        <v>6223</v>
      </c>
      <c r="F57" s="207" t="s">
        <v>6224</v>
      </c>
      <c r="G57" s="207" t="s">
        <v>6225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6226</v>
      </c>
      <c r="B58" s="314" t="s">
        <v>6227</v>
      </c>
      <c r="C58" s="207">
        <f t="shared" si="4"/>
        <v>469533</v>
      </c>
      <c r="D58" s="207" t="s">
        <v>5958</v>
      </c>
      <c r="E58" s="207" t="s">
        <v>6228</v>
      </c>
      <c r="F58" s="207" t="s">
        <v>6229</v>
      </c>
      <c r="G58" s="207" t="s">
        <v>6230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6273</v>
      </c>
      <c r="B59" s="314" t="s">
        <v>6272</v>
      </c>
      <c r="C59" s="207">
        <f t="shared" si="4"/>
        <v>5076558</v>
      </c>
      <c r="D59" s="207" t="s">
        <v>6274</v>
      </c>
      <c r="E59" s="207" t="s">
        <v>5958</v>
      </c>
      <c r="F59" s="207" t="s">
        <v>6211</v>
      </c>
      <c r="G59" s="207" t="s">
        <v>6275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5951</v>
      </c>
      <c r="B60" s="314" t="s">
        <v>6213</v>
      </c>
      <c r="C60" s="207">
        <f t="shared" si="4"/>
        <v>1144000</v>
      </c>
      <c r="D60" s="207" t="s">
        <v>5958</v>
      </c>
      <c r="E60" s="207" t="s">
        <v>6214</v>
      </c>
      <c r="F60" s="207" t="s">
        <v>6215</v>
      </c>
      <c r="G60" s="207" t="s">
        <v>6216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6185</v>
      </c>
      <c r="B61" s="314" t="s">
        <v>6186</v>
      </c>
      <c r="C61" s="207">
        <f t="shared" si="4"/>
        <v>2000000</v>
      </c>
      <c r="D61" s="207" t="s">
        <v>5958</v>
      </c>
      <c r="E61" s="207" t="s">
        <v>6187</v>
      </c>
      <c r="F61" s="207" t="s">
        <v>6188</v>
      </c>
      <c r="G61" s="207" t="s">
        <v>6189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6235</v>
      </c>
      <c r="B62" s="314" t="s">
        <v>6236</v>
      </c>
      <c r="C62" s="207">
        <f t="shared" si="4"/>
        <v>1469425</v>
      </c>
      <c r="D62" s="207" t="s">
        <v>5958</v>
      </c>
      <c r="E62" s="207" t="s">
        <v>6237</v>
      </c>
      <c r="F62" s="207" t="s">
        <v>6238</v>
      </c>
      <c r="G62" s="207" t="s">
        <v>6239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6231</v>
      </c>
      <c r="B63" s="314" t="s">
        <v>6232</v>
      </c>
      <c r="C63" s="207">
        <f t="shared" si="4"/>
        <v>1888175</v>
      </c>
      <c r="D63" s="207" t="s">
        <v>5958</v>
      </c>
      <c r="E63" s="207" t="s">
        <v>6233</v>
      </c>
      <c r="F63" s="207" t="s">
        <v>6025</v>
      </c>
      <c r="G63" s="207" t="s">
        <v>6234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5948</v>
      </c>
      <c r="B64" s="314" t="s">
        <v>6205</v>
      </c>
      <c r="C64" s="207">
        <f t="shared" si="4"/>
        <v>15200000</v>
      </c>
      <c r="D64" s="207" t="s">
        <v>5958</v>
      </c>
      <c r="E64" s="207" t="s">
        <v>6206</v>
      </c>
      <c r="F64" s="207" t="s">
        <v>6044</v>
      </c>
      <c r="G64" s="207" t="s">
        <v>6207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6249</v>
      </c>
      <c r="B65" s="314" t="s">
        <v>6250</v>
      </c>
      <c r="C65" s="207">
        <f t="shared" si="4"/>
        <v>364567</v>
      </c>
      <c r="D65" s="207" t="s">
        <v>5958</v>
      </c>
      <c r="E65" s="207" t="s">
        <v>6251</v>
      </c>
      <c r="F65" s="207" t="s">
        <v>6148</v>
      </c>
      <c r="G65" s="207" t="s">
        <v>6252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6240</v>
      </c>
      <c r="B66" s="314" t="s">
        <v>6241</v>
      </c>
      <c r="C66" s="207">
        <f t="shared" ref="C66:C70" si="5">D66+E66</f>
        <v>474991</v>
      </c>
      <c r="D66" s="207" t="s">
        <v>5958</v>
      </c>
      <c r="E66" s="207" t="s">
        <v>6242</v>
      </c>
      <c r="F66" s="207" t="s">
        <v>6089</v>
      </c>
      <c r="G66" s="207" t="s">
        <v>6243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6259</v>
      </c>
      <c r="B67" s="314" t="s">
        <v>6260</v>
      </c>
      <c r="C67" s="207">
        <f t="shared" si="5"/>
        <v>35981</v>
      </c>
      <c r="D67" s="207" t="s">
        <v>5958</v>
      </c>
      <c r="E67" s="207" t="s">
        <v>6261</v>
      </c>
      <c r="F67" s="207" t="s">
        <v>6262</v>
      </c>
      <c r="G67" s="207" t="s">
        <v>6263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6253</v>
      </c>
      <c r="B68" s="314" t="s">
        <v>6254</v>
      </c>
      <c r="C68" s="207">
        <f t="shared" si="5"/>
        <v>3000</v>
      </c>
      <c r="D68" s="207" t="s">
        <v>6256</v>
      </c>
      <c r="E68" s="207" t="s">
        <v>6257</v>
      </c>
      <c r="F68" s="207" t="s">
        <v>6044</v>
      </c>
      <c r="G68" s="207" t="s">
        <v>6258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6264</v>
      </c>
      <c r="B69" s="314" t="s">
        <v>6265</v>
      </c>
      <c r="C69" s="207">
        <f t="shared" si="5"/>
        <v>2666</v>
      </c>
      <c r="D69" s="207" t="s">
        <v>5958</v>
      </c>
      <c r="E69" s="207" t="s">
        <v>6267</v>
      </c>
      <c r="F69" s="207" t="s">
        <v>6089</v>
      </c>
      <c r="G69" s="207" t="s">
        <v>6268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6269</v>
      </c>
      <c r="B70" s="314" t="s">
        <v>5958</v>
      </c>
      <c r="C70" s="207">
        <f t="shared" si="5"/>
        <v>0</v>
      </c>
      <c r="D70" s="207" t="s">
        <v>6270</v>
      </c>
      <c r="E70" s="207" t="s">
        <v>6058</v>
      </c>
      <c r="F70" s="207" t="s">
        <v>6060</v>
      </c>
      <c r="G70" s="207" t="s">
        <v>6271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6276</v>
      </c>
      <c r="B71" s="314" t="s">
        <v>5958</v>
      </c>
      <c r="C71" s="207"/>
      <c r="D71" s="207" t="s">
        <v>5958</v>
      </c>
      <c r="E71" s="207" t="s">
        <v>6277</v>
      </c>
      <c r="F71" s="207" t="s">
        <v>6278</v>
      </c>
      <c r="G71" s="207" t="s">
        <v>6279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5943</v>
      </c>
      <c r="I82" s="207" t="s">
        <v>191</v>
      </c>
      <c r="J82" s="207" t="s">
        <v>6460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6283</v>
      </c>
      <c r="C1" s="207"/>
      <c r="D1" s="207"/>
      <c r="E1" s="207"/>
      <c r="F1" s="207"/>
      <c r="G1" s="207"/>
      <c r="H1" s="207"/>
      <c r="I1" s="207"/>
      <c r="J1" s="207"/>
      <c r="K1" s="207"/>
      <c r="L1" s="207"/>
      <c r="M1" s="207"/>
      <c r="N1" s="207"/>
      <c r="O1" s="207"/>
      <c r="P1" s="207"/>
      <c r="Q1" s="207"/>
      <c r="R1" s="207"/>
      <c r="S1" s="207"/>
      <c r="T1" s="207"/>
      <c r="U1" s="207" t="s">
        <v>6284</v>
      </c>
      <c r="V1" s="207"/>
      <c r="W1" s="207"/>
      <c r="X1" s="207"/>
      <c r="Y1" s="207" t="s">
        <v>5940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5941</v>
      </c>
      <c r="D2" s="207"/>
      <c r="E2" s="207"/>
      <c r="F2" s="207" t="s">
        <v>5939</v>
      </c>
      <c r="G2" s="207"/>
      <c r="H2" s="207"/>
      <c r="I2" s="207" t="s">
        <v>5941</v>
      </c>
      <c r="J2" s="207"/>
      <c r="K2" s="207"/>
      <c r="L2" s="207" t="s">
        <v>4835</v>
      </c>
      <c r="M2" s="207"/>
      <c r="N2" s="207"/>
      <c r="O2" s="207"/>
      <c r="P2" s="207"/>
      <c r="Q2" s="207" t="s">
        <v>5941</v>
      </c>
      <c r="R2" s="207"/>
      <c r="S2" s="207"/>
      <c r="T2" s="207" t="s">
        <v>4835</v>
      </c>
      <c r="U2" s="207"/>
      <c r="V2" s="207"/>
      <c r="W2" s="207"/>
      <c r="X2" s="207"/>
      <c r="Y2" s="207"/>
      <c r="Z2" s="207"/>
      <c r="AA2" s="207"/>
      <c r="AB2" s="207" t="s">
        <v>5942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6285</v>
      </c>
      <c r="B4" s="207"/>
      <c r="C4" s="207" t="s">
        <v>6286</v>
      </c>
      <c r="D4" s="207"/>
      <c r="E4" s="207"/>
      <c r="F4" s="207" t="s">
        <v>6287</v>
      </c>
      <c r="G4" s="207"/>
      <c r="H4" s="207"/>
      <c r="I4" s="207" t="s">
        <v>6288</v>
      </c>
      <c r="J4" s="207"/>
      <c r="K4" s="207"/>
      <c r="L4" s="207"/>
      <c r="M4" s="207"/>
      <c r="N4" s="207" t="s">
        <v>6289</v>
      </c>
      <c r="O4" s="207"/>
      <c r="P4" s="207"/>
      <c r="Q4" s="207" t="s">
        <v>6290</v>
      </c>
      <c r="R4" s="207"/>
      <c r="S4" s="207"/>
      <c r="T4" s="207"/>
      <c r="U4" s="207" t="s">
        <v>6291</v>
      </c>
      <c r="V4" s="207"/>
      <c r="W4" s="207"/>
      <c r="X4" s="207"/>
      <c r="Y4" s="207" t="s">
        <v>5948</v>
      </c>
      <c r="Z4" s="207"/>
      <c r="AA4" s="207" t="s">
        <v>6292</v>
      </c>
      <c r="AB4" s="207"/>
      <c r="AC4" s="207"/>
      <c r="AD4" s="207" t="s">
        <v>6293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6294</v>
      </c>
      <c r="B6" s="207"/>
      <c r="C6" s="207" t="s">
        <v>6295</v>
      </c>
      <c r="D6" s="207"/>
      <c r="E6" s="207"/>
      <c r="F6" s="207" t="s">
        <v>6296</v>
      </c>
      <c r="G6" s="207"/>
      <c r="H6" s="207"/>
      <c r="I6" s="207" t="s">
        <v>5958</v>
      </c>
      <c r="J6" s="207"/>
      <c r="K6" s="207"/>
      <c r="L6" s="207"/>
      <c r="M6" s="207"/>
      <c r="N6" s="207" t="s">
        <v>5958</v>
      </c>
      <c r="O6" s="207"/>
      <c r="P6" s="207"/>
      <c r="Q6" s="207" t="s">
        <v>6295</v>
      </c>
      <c r="R6" s="207"/>
      <c r="S6" s="207"/>
      <c r="T6" s="207"/>
      <c r="U6" s="207" t="s">
        <v>6297</v>
      </c>
      <c r="V6" s="207"/>
      <c r="W6" s="207"/>
      <c r="X6" s="207"/>
      <c r="Y6" s="207" t="s">
        <v>5948</v>
      </c>
      <c r="Z6" s="207"/>
      <c r="AA6" s="207" t="s">
        <v>6298</v>
      </c>
      <c r="AB6" s="207"/>
      <c r="AC6" s="207"/>
      <c r="AD6" s="207" t="s">
        <v>6299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6300</v>
      </c>
      <c r="B7" s="207"/>
      <c r="C7" s="207" t="s">
        <v>6301</v>
      </c>
      <c r="D7" s="207"/>
      <c r="E7" s="207"/>
      <c r="F7" s="207" t="s">
        <v>6302</v>
      </c>
      <c r="G7" s="207"/>
      <c r="H7" s="207"/>
      <c r="I7" s="207" t="s">
        <v>5958</v>
      </c>
      <c r="J7" s="207"/>
      <c r="K7" s="207"/>
      <c r="L7" s="207"/>
      <c r="M7" s="207"/>
      <c r="N7" s="207" t="s">
        <v>5958</v>
      </c>
      <c r="O7" s="207"/>
      <c r="P7" s="207"/>
      <c r="Q7" s="207" t="s">
        <v>6301</v>
      </c>
      <c r="R7" s="207"/>
      <c r="S7" s="207"/>
      <c r="T7" s="207"/>
      <c r="U7" s="207" t="s">
        <v>6303</v>
      </c>
      <c r="V7" s="207"/>
      <c r="W7" s="207"/>
      <c r="X7" s="207"/>
      <c r="Y7" s="207" t="s">
        <v>5948</v>
      </c>
      <c r="Z7" s="207"/>
      <c r="AA7" s="207" t="s">
        <v>6304</v>
      </c>
      <c r="AB7" s="207"/>
      <c r="AC7" s="207"/>
      <c r="AD7" s="207" t="s">
        <v>6305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6306</v>
      </c>
      <c r="B8" s="207"/>
      <c r="C8" s="207" t="s">
        <v>6307</v>
      </c>
      <c r="D8" s="207"/>
      <c r="E8" s="207"/>
      <c r="F8" s="207" t="s">
        <v>6308</v>
      </c>
      <c r="G8" s="207"/>
      <c r="H8" s="207"/>
      <c r="I8" s="207" t="s">
        <v>5958</v>
      </c>
      <c r="J8" s="207"/>
      <c r="K8" s="207"/>
      <c r="L8" s="207"/>
      <c r="M8" s="207"/>
      <c r="N8" s="207" t="s">
        <v>5958</v>
      </c>
      <c r="O8" s="207"/>
      <c r="P8" s="207"/>
      <c r="Q8" s="207" t="s">
        <v>6307</v>
      </c>
      <c r="R8" s="207"/>
      <c r="S8" s="207"/>
      <c r="T8" s="207"/>
      <c r="U8" s="207" t="s">
        <v>6309</v>
      </c>
      <c r="V8" s="207"/>
      <c r="W8" s="207"/>
      <c r="X8" s="207"/>
      <c r="Y8" s="207" t="s">
        <v>6310</v>
      </c>
      <c r="Z8" s="207"/>
      <c r="AA8" s="207" t="s">
        <v>6006</v>
      </c>
      <c r="AB8" s="207"/>
      <c r="AC8" s="207"/>
      <c r="AD8" s="207" t="s">
        <v>6311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6312</v>
      </c>
      <c r="B9" s="207"/>
      <c r="C9" s="207" t="s">
        <v>6313</v>
      </c>
      <c r="D9" s="207"/>
      <c r="E9" s="207"/>
      <c r="F9" s="207" t="s">
        <v>6314</v>
      </c>
      <c r="G9" s="207"/>
      <c r="H9" s="207"/>
      <c r="I9" s="207" t="s">
        <v>5958</v>
      </c>
      <c r="J9" s="207"/>
      <c r="K9" s="207"/>
      <c r="L9" s="207"/>
      <c r="M9" s="207"/>
      <c r="N9" s="207" t="s">
        <v>5958</v>
      </c>
      <c r="O9" s="207"/>
      <c r="P9" s="207"/>
      <c r="Q9" s="207" t="s">
        <v>6313</v>
      </c>
      <c r="R9" s="207"/>
      <c r="S9" s="207"/>
      <c r="T9" s="207"/>
      <c r="U9" s="207" t="s">
        <v>6315</v>
      </c>
      <c r="V9" s="207"/>
      <c r="W9" s="207"/>
      <c r="X9" s="207"/>
      <c r="Y9" s="207" t="s">
        <v>6310</v>
      </c>
      <c r="Z9" s="207"/>
      <c r="AA9" s="207" t="s">
        <v>6278</v>
      </c>
      <c r="AB9" s="207"/>
      <c r="AC9" s="207"/>
      <c r="AD9" s="207" t="s">
        <v>6316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6317</v>
      </c>
      <c r="B10" s="207"/>
      <c r="C10" s="207" t="s">
        <v>6318</v>
      </c>
      <c r="D10" s="207"/>
      <c r="E10" s="207"/>
      <c r="F10" s="207" t="s">
        <v>6319</v>
      </c>
      <c r="G10" s="207"/>
      <c r="H10" s="207"/>
      <c r="I10" s="207" t="s">
        <v>5958</v>
      </c>
      <c r="J10" s="207"/>
      <c r="K10" s="207"/>
      <c r="L10" s="207"/>
      <c r="M10" s="207"/>
      <c r="N10" s="207" t="s">
        <v>5958</v>
      </c>
      <c r="O10" s="207"/>
      <c r="P10" s="207"/>
      <c r="Q10" s="207" t="s">
        <v>6318</v>
      </c>
      <c r="R10" s="207"/>
      <c r="S10" s="207"/>
      <c r="T10" s="207"/>
      <c r="U10" s="207" t="s">
        <v>6320</v>
      </c>
      <c r="V10" s="207"/>
      <c r="W10" s="207"/>
      <c r="X10" s="207"/>
      <c r="Y10" s="207" t="s">
        <v>6310</v>
      </c>
      <c r="Z10" s="207"/>
      <c r="AA10" s="207" t="s">
        <v>6321</v>
      </c>
      <c r="AB10" s="207"/>
      <c r="AC10" s="207"/>
      <c r="AD10" s="207" t="s">
        <v>6322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6323</v>
      </c>
      <c r="B11" s="207"/>
      <c r="C11" s="207" t="s">
        <v>6324</v>
      </c>
      <c r="D11" s="207"/>
      <c r="E11" s="207"/>
      <c r="F11" s="207" t="s">
        <v>6325</v>
      </c>
      <c r="G11" s="207"/>
      <c r="H11" s="207"/>
      <c r="I11" s="207" t="s">
        <v>5958</v>
      </c>
      <c r="J11" s="207"/>
      <c r="K11" s="207"/>
      <c r="L11" s="207"/>
      <c r="M11" s="207"/>
      <c r="N11" s="207" t="s">
        <v>5958</v>
      </c>
      <c r="O11" s="207"/>
      <c r="P11" s="207"/>
      <c r="Q11" s="207" t="s">
        <v>6324</v>
      </c>
      <c r="R11" s="207"/>
      <c r="S11" s="207"/>
      <c r="T11" s="207"/>
      <c r="U11" s="207" t="s">
        <v>6326</v>
      </c>
      <c r="V11" s="207"/>
      <c r="W11" s="207"/>
      <c r="X11" s="207"/>
      <c r="Y11" s="207" t="s">
        <v>6310</v>
      </c>
      <c r="Z11" s="207"/>
      <c r="AA11" s="207" t="s">
        <v>6224</v>
      </c>
      <c r="AB11" s="207"/>
      <c r="AC11" s="207"/>
      <c r="AD11" s="207" t="s">
        <v>6327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6328</v>
      </c>
      <c r="B12" s="207"/>
      <c r="C12" s="207" t="s">
        <v>6329</v>
      </c>
      <c r="D12" s="207"/>
      <c r="E12" s="207"/>
      <c r="F12" s="207" t="s">
        <v>6330</v>
      </c>
      <c r="G12" s="207"/>
      <c r="H12" s="207"/>
      <c r="I12" s="207" t="s">
        <v>5958</v>
      </c>
      <c r="J12" s="207"/>
      <c r="K12" s="207"/>
      <c r="L12" s="207"/>
      <c r="M12" s="207"/>
      <c r="N12" s="207" t="s">
        <v>5958</v>
      </c>
      <c r="O12" s="207"/>
      <c r="P12" s="207"/>
      <c r="Q12" s="207" t="s">
        <v>6329</v>
      </c>
      <c r="R12" s="207"/>
      <c r="S12" s="207"/>
      <c r="T12" s="207"/>
      <c r="U12" s="207" t="s">
        <v>6331</v>
      </c>
      <c r="V12" s="207"/>
      <c r="W12" s="207"/>
      <c r="X12" s="207"/>
      <c r="Y12" s="207" t="s">
        <v>5948</v>
      </c>
      <c r="Z12" s="207"/>
      <c r="AA12" s="207" t="s">
        <v>6278</v>
      </c>
      <c r="AB12" s="207"/>
      <c r="AC12" s="207"/>
      <c r="AD12" s="207" t="s">
        <v>6332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6333</v>
      </c>
      <c r="B13" s="207"/>
      <c r="C13" s="207" t="s">
        <v>6334</v>
      </c>
      <c r="D13" s="207"/>
      <c r="E13" s="207"/>
      <c r="F13" s="207" t="s">
        <v>6335</v>
      </c>
      <c r="G13" s="207"/>
      <c r="H13" s="207"/>
      <c r="I13" s="207" t="s">
        <v>5958</v>
      </c>
      <c r="J13" s="207"/>
      <c r="K13" s="207"/>
      <c r="L13" s="207"/>
      <c r="M13" s="207"/>
      <c r="N13" s="207" t="s">
        <v>5958</v>
      </c>
      <c r="O13" s="207"/>
      <c r="P13" s="207"/>
      <c r="Q13" s="207" t="s">
        <v>6334</v>
      </c>
      <c r="R13" s="207"/>
      <c r="S13" s="207"/>
      <c r="T13" s="207"/>
      <c r="U13" s="207" t="s">
        <v>6336</v>
      </c>
      <c r="V13" s="207"/>
      <c r="W13" s="207"/>
      <c r="X13" s="207"/>
      <c r="Y13" s="207" t="s">
        <v>5948</v>
      </c>
      <c r="Z13" s="207"/>
      <c r="AA13" s="207" t="s">
        <v>6337</v>
      </c>
      <c r="AB13" s="207"/>
      <c r="AC13" s="207"/>
      <c r="AD13" s="207" t="s">
        <v>6338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5948</v>
      </c>
      <c r="B14" s="207"/>
      <c r="C14" s="207" t="s">
        <v>6339</v>
      </c>
      <c r="D14" s="207"/>
      <c r="E14" s="207"/>
      <c r="F14" s="207" t="s">
        <v>6330</v>
      </c>
      <c r="G14" s="207"/>
      <c r="H14" s="207"/>
      <c r="I14" s="207" t="s">
        <v>5958</v>
      </c>
      <c r="J14" s="207"/>
      <c r="K14" s="207"/>
      <c r="L14" s="207"/>
      <c r="M14" s="207"/>
      <c r="N14" s="207" t="s">
        <v>5958</v>
      </c>
      <c r="O14" s="207"/>
      <c r="P14" s="207"/>
      <c r="Q14" s="207" t="s">
        <v>6339</v>
      </c>
      <c r="R14" s="207"/>
      <c r="S14" s="207"/>
      <c r="T14" s="207"/>
      <c r="U14" s="207" t="s">
        <v>6340</v>
      </c>
      <c r="V14" s="207"/>
      <c r="W14" s="207"/>
      <c r="X14" s="207"/>
      <c r="Y14" s="207" t="s">
        <v>5948</v>
      </c>
      <c r="Z14" s="207"/>
      <c r="AA14" s="207" t="s">
        <v>6341</v>
      </c>
      <c r="AB14" s="207"/>
      <c r="AC14" s="207"/>
      <c r="AD14" s="207" t="s">
        <v>6342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6343</v>
      </c>
      <c r="B15" s="207"/>
      <c r="C15" s="207" t="s">
        <v>6344</v>
      </c>
      <c r="D15" s="207"/>
      <c r="E15" s="207"/>
      <c r="F15" s="207" t="s">
        <v>6345</v>
      </c>
      <c r="G15" s="207"/>
      <c r="H15" s="207"/>
      <c r="I15" s="207" t="s">
        <v>5958</v>
      </c>
      <c r="J15" s="207"/>
      <c r="K15" s="207"/>
      <c r="L15" s="207"/>
      <c r="M15" s="207"/>
      <c r="N15" s="207" t="s">
        <v>5958</v>
      </c>
      <c r="O15" s="207"/>
      <c r="P15" s="207"/>
      <c r="Q15" s="207" t="s">
        <v>6344</v>
      </c>
      <c r="R15" s="207"/>
      <c r="S15" s="207"/>
      <c r="T15" s="207"/>
      <c r="U15" s="207" t="s">
        <v>6346</v>
      </c>
      <c r="V15" s="207"/>
      <c r="W15" s="207"/>
      <c r="X15" s="207"/>
      <c r="Y15" s="207" t="s">
        <v>6310</v>
      </c>
      <c r="Z15" s="207"/>
      <c r="AA15" s="207" t="s">
        <v>6224</v>
      </c>
      <c r="AB15" s="207"/>
      <c r="AC15" s="207"/>
      <c r="AD15" s="207" t="s">
        <v>6347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6348</v>
      </c>
      <c r="B16" s="207"/>
      <c r="C16" s="207" t="s">
        <v>6349</v>
      </c>
      <c r="D16" s="207"/>
      <c r="E16" s="207"/>
      <c r="F16" s="207" t="s">
        <v>6350</v>
      </c>
      <c r="G16" s="207"/>
      <c r="H16" s="207"/>
      <c r="I16" s="207" t="s">
        <v>5958</v>
      </c>
      <c r="J16" s="207"/>
      <c r="K16" s="207"/>
      <c r="L16" s="207"/>
      <c r="M16" s="207"/>
      <c r="N16" s="207" t="s">
        <v>5958</v>
      </c>
      <c r="O16" s="207"/>
      <c r="P16" s="207"/>
      <c r="Q16" s="207" t="s">
        <v>6349</v>
      </c>
      <c r="R16" s="207"/>
      <c r="S16" s="207"/>
      <c r="T16" s="207"/>
      <c r="U16" s="207" t="s">
        <v>6349</v>
      </c>
      <c r="V16" s="207"/>
      <c r="W16" s="207"/>
      <c r="X16" s="207"/>
      <c r="Y16" s="207" t="s">
        <v>6348</v>
      </c>
      <c r="Z16" s="207"/>
      <c r="AA16" s="207" t="s">
        <v>6203</v>
      </c>
      <c r="AB16" s="207"/>
      <c r="AC16" s="207"/>
      <c r="AD16" s="207" t="s">
        <v>6351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6348</v>
      </c>
      <c r="B17" s="207"/>
      <c r="C17" s="207" t="s">
        <v>6352</v>
      </c>
      <c r="D17" s="207"/>
      <c r="E17" s="207"/>
      <c r="F17" s="207" t="s">
        <v>6353</v>
      </c>
      <c r="G17" s="207"/>
      <c r="H17" s="207"/>
      <c r="I17" s="207" t="s">
        <v>5958</v>
      </c>
      <c r="J17" s="207"/>
      <c r="K17" s="207"/>
      <c r="L17" s="207"/>
      <c r="M17" s="207"/>
      <c r="N17" s="207" t="s">
        <v>5958</v>
      </c>
      <c r="O17" s="207"/>
      <c r="P17" s="207"/>
      <c r="Q17" s="207" t="s">
        <v>6352</v>
      </c>
      <c r="R17" s="207"/>
      <c r="S17" s="207"/>
      <c r="T17" s="207"/>
      <c r="U17" s="207" t="s">
        <v>6352</v>
      </c>
      <c r="V17" s="207"/>
      <c r="W17" s="207"/>
      <c r="X17" s="207"/>
      <c r="Y17" s="207" t="s">
        <v>6348</v>
      </c>
      <c r="Z17" s="207"/>
      <c r="AA17" s="207" t="s">
        <v>6354</v>
      </c>
      <c r="AB17" s="207"/>
      <c r="AC17" s="207"/>
      <c r="AD17" s="207" t="s">
        <v>6355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6356</v>
      </c>
      <c r="B18" s="207"/>
      <c r="C18" s="207" t="s">
        <v>6357</v>
      </c>
      <c r="D18" s="207"/>
      <c r="E18" s="207"/>
      <c r="F18" s="207" t="s">
        <v>6136</v>
      </c>
      <c r="G18" s="207"/>
      <c r="H18" s="207"/>
      <c r="I18" s="207" t="s">
        <v>5958</v>
      </c>
      <c r="J18" s="207"/>
      <c r="K18" s="207"/>
      <c r="L18" s="207"/>
      <c r="M18" s="207"/>
      <c r="N18" s="207" t="s">
        <v>5958</v>
      </c>
      <c r="O18" s="207"/>
      <c r="P18" s="207"/>
      <c r="Q18" s="207" t="s">
        <v>6357</v>
      </c>
      <c r="R18" s="207"/>
      <c r="S18" s="207"/>
      <c r="T18" s="207"/>
      <c r="U18" s="207" t="s">
        <v>6358</v>
      </c>
      <c r="V18" s="207"/>
      <c r="W18" s="207"/>
      <c r="X18" s="207"/>
      <c r="Y18" s="207" t="s">
        <v>6310</v>
      </c>
      <c r="Z18" s="207"/>
      <c r="AA18" s="207" t="s">
        <v>6224</v>
      </c>
      <c r="AB18" s="207"/>
      <c r="AC18" s="207"/>
      <c r="AD18" s="207" t="s">
        <v>6359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6360</v>
      </c>
      <c r="B19" s="207"/>
      <c r="C19" s="207" t="s">
        <v>6361</v>
      </c>
      <c r="D19" s="207"/>
      <c r="E19" s="207"/>
      <c r="F19" s="207" t="s">
        <v>6034</v>
      </c>
      <c r="G19" s="207"/>
      <c r="H19" s="207"/>
      <c r="I19" s="207" t="s">
        <v>5958</v>
      </c>
      <c r="J19" s="207"/>
      <c r="K19" s="207"/>
      <c r="L19" s="207"/>
      <c r="M19" s="207"/>
      <c r="N19" s="207" t="s">
        <v>5958</v>
      </c>
      <c r="O19" s="207"/>
      <c r="P19" s="207"/>
      <c r="Q19" s="207" t="s">
        <v>6361</v>
      </c>
      <c r="R19" s="207"/>
      <c r="S19" s="207"/>
      <c r="T19" s="207"/>
      <c r="U19" s="207" t="s">
        <v>6341</v>
      </c>
      <c r="V19" s="207"/>
      <c r="W19" s="207"/>
      <c r="X19" s="207"/>
      <c r="Y19" s="207" t="s">
        <v>5948</v>
      </c>
      <c r="Z19" s="207"/>
      <c r="AA19" s="207" t="s">
        <v>6362</v>
      </c>
      <c r="AB19" s="207"/>
      <c r="AC19" s="207"/>
      <c r="AD19" s="207" t="s">
        <v>6363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6364</v>
      </c>
      <c r="B20" s="207"/>
      <c r="C20" s="207" t="s">
        <v>6365</v>
      </c>
      <c r="D20" s="207"/>
      <c r="E20" s="207"/>
      <c r="F20" s="207" t="s">
        <v>6009</v>
      </c>
      <c r="G20" s="207"/>
      <c r="H20" s="207"/>
      <c r="I20" s="207" t="s">
        <v>5958</v>
      </c>
      <c r="J20" s="207"/>
      <c r="K20" s="207"/>
      <c r="L20" s="207"/>
      <c r="M20" s="207"/>
      <c r="N20" s="207" t="s">
        <v>5958</v>
      </c>
      <c r="O20" s="207"/>
      <c r="P20" s="207"/>
      <c r="Q20" s="207" t="s">
        <v>6365</v>
      </c>
      <c r="R20" s="207"/>
      <c r="S20" s="207"/>
      <c r="T20" s="207"/>
      <c r="U20" s="207" t="s">
        <v>6366</v>
      </c>
      <c r="V20" s="207"/>
      <c r="W20" s="207"/>
      <c r="X20" s="207"/>
      <c r="Y20" s="207" t="s">
        <v>6348</v>
      </c>
      <c r="Z20" s="207"/>
      <c r="AA20" s="207" t="s">
        <v>6148</v>
      </c>
      <c r="AB20" s="207"/>
      <c r="AC20" s="207"/>
      <c r="AD20" s="207" t="s">
        <v>6367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6310</v>
      </c>
      <c r="B21" s="207"/>
      <c r="C21" s="207" t="s">
        <v>5948</v>
      </c>
      <c r="D21" s="207"/>
      <c r="E21" s="207"/>
      <c r="F21" s="207" t="s">
        <v>6330</v>
      </c>
      <c r="G21" s="207"/>
      <c r="H21" s="207"/>
      <c r="I21" s="207" t="s">
        <v>5958</v>
      </c>
      <c r="J21" s="207"/>
      <c r="K21" s="207"/>
      <c r="L21" s="207"/>
      <c r="M21" s="207"/>
      <c r="N21" s="207" t="s">
        <v>5958</v>
      </c>
      <c r="O21" s="207"/>
      <c r="P21" s="207"/>
      <c r="Q21" s="207" t="s">
        <v>5948</v>
      </c>
      <c r="R21" s="207"/>
      <c r="S21" s="207"/>
      <c r="T21" s="207"/>
      <c r="U21" s="207" t="s">
        <v>6339</v>
      </c>
      <c r="V21" s="207"/>
      <c r="W21" s="207"/>
      <c r="X21" s="207"/>
      <c r="Y21" s="207" t="s">
        <v>6310</v>
      </c>
      <c r="Z21" s="207"/>
      <c r="AA21" s="207" t="s">
        <v>5948</v>
      </c>
      <c r="AB21" s="207"/>
      <c r="AC21" s="207"/>
      <c r="AD21" s="207" t="s">
        <v>6368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6369</v>
      </c>
      <c r="B22" s="207"/>
      <c r="C22" s="207" t="s">
        <v>6370</v>
      </c>
      <c r="D22" s="207"/>
      <c r="E22" s="207"/>
      <c r="F22" s="207" t="s">
        <v>6255</v>
      </c>
      <c r="G22" s="207"/>
      <c r="H22" s="207"/>
      <c r="I22" s="207" t="s">
        <v>5958</v>
      </c>
      <c r="J22" s="207"/>
      <c r="K22" s="207"/>
      <c r="L22" s="207"/>
      <c r="M22" s="207"/>
      <c r="N22" s="207" t="s">
        <v>5958</v>
      </c>
      <c r="O22" s="207"/>
      <c r="P22" s="207"/>
      <c r="Q22" s="207" t="s">
        <v>6370</v>
      </c>
      <c r="R22" s="207"/>
      <c r="S22" s="207"/>
      <c r="T22" s="207"/>
      <c r="U22" s="207" t="s">
        <v>6371</v>
      </c>
      <c r="V22" s="207"/>
      <c r="W22" s="207"/>
      <c r="X22" s="207"/>
      <c r="Y22" s="207" t="s">
        <v>6310</v>
      </c>
      <c r="Z22" s="207"/>
      <c r="AA22" s="207" t="s">
        <v>6372</v>
      </c>
      <c r="AB22" s="207"/>
      <c r="AC22" s="207"/>
      <c r="AD22" s="207" t="s">
        <v>6373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5948</v>
      </c>
      <c r="B23" s="207"/>
      <c r="C23" s="207" t="s">
        <v>6374</v>
      </c>
      <c r="D23" s="207"/>
      <c r="E23" s="207"/>
      <c r="F23" s="207" t="s">
        <v>6255</v>
      </c>
      <c r="G23" s="207"/>
      <c r="H23" s="207"/>
      <c r="I23" s="207" t="s">
        <v>5958</v>
      </c>
      <c r="J23" s="207"/>
      <c r="K23" s="207"/>
      <c r="L23" s="207"/>
      <c r="M23" s="207"/>
      <c r="N23" s="207" t="s">
        <v>5958</v>
      </c>
      <c r="O23" s="207"/>
      <c r="P23" s="207"/>
      <c r="Q23" s="207" t="s">
        <v>6374</v>
      </c>
      <c r="R23" s="207"/>
      <c r="S23" s="207"/>
      <c r="T23" s="207"/>
      <c r="U23" s="207" t="s">
        <v>6310</v>
      </c>
      <c r="V23" s="207"/>
      <c r="W23" s="207"/>
      <c r="X23" s="207"/>
      <c r="Y23" s="207" t="s">
        <v>5948</v>
      </c>
      <c r="Z23" s="207"/>
      <c r="AA23" s="207" t="s">
        <v>6375</v>
      </c>
      <c r="AB23" s="207"/>
      <c r="AC23" s="207"/>
      <c r="AD23" s="207" t="s">
        <v>6376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5958</v>
      </c>
      <c r="B24" s="207"/>
      <c r="C24" s="207" t="s">
        <v>6377</v>
      </c>
      <c r="D24" s="207"/>
      <c r="E24" s="207"/>
      <c r="F24" s="207" t="s">
        <v>6255</v>
      </c>
      <c r="G24" s="207"/>
      <c r="H24" s="207"/>
      <c r="I24" s="207" t="s">
        <v>5958</v>
      </c>
      <c r="J24" s="207"/>
      <c r="K24" s="207"/>
      <c r="L24" s="207"/>
      <c r="M24" s="207"/>
      <c r="N24" s="207" t="s">
        <v>5958</v>
      </c>
      <c r="O24" s="207"/>
      <c r="P24" s="207"/>
      <c r="Q24" s="207" t="s">
        <v>6377</v>
      </c>
      <c r="R24" s="207"/>
      <c r="S24" s="207"/>
      <c r="T24" s="207"/>
      <c r="U24" s="207" t="s">
        <v>5958</v>
      </c>
      <c r="V24" s="207"/>
      <c r="W24" s="207"/>
      <c r="X24" s="207"/>
      <c r="Y24" s="207" t="s">
        <v>5958</v>
      </c>
      <c r="Z24" s="207"/>
      <c r="AA24" s="207" t="s">
        <v>5958</v>
      </c>
      <c r="AB24" s="207"/>
      <c r="AC24" s="207"/>
      <c r="AD24" s="207" t="s">
        <v>6378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6379</v>
      </c>
      <c r="D25" s="207"/>
      <c r="E25" s="207"/>
      <c r="F25" s="207"/>
      <c r="G25" s="207"/>
      <c r="H25" s="207" t="s">
        <v>6288</v>
      </c>
      <c r="I25" s="207"/>
      <c r="J25" s="207"/>
      <c r="K25" s="207"/>
      <c r="L25" s="207" t="s">
        <v>6380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6382</v>
      </c>
      <c r="B28" s="207"/>
      <c r="C28" s="207"/>
      <c r="D28" s="207"/>
      <c r="E28" s="207"/>
      <c r="F28" s="207" t="s">
        <v>6383</v>
      </c>
      <c r="G28" s="207"/>
      <c r="H28" s="207"/>
      <c r="I28" s="207"/>
      <c r="J28" s="207"/>
      <c r="K28" s="207"/>
      <c r="L28" s="207"/>
      <c r="M28" s="207"/>
      <c r="N28" s="207"/>
      <c r="O28" s="207"/>
      <c r="P28" s="207"/>
      <c r="Q28" s="207" t="s">
        <v>6283</v>
      </c>
      <c r="R28" s="207"/>
      <c r="S28" s="207"/>
      <c r="T28" s="207"/>
      <c r="U28" s="207" t="s">
        <v>5942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5958</v>
      </c>
      <c r="B29" s="207"/>
      <c r="C29" s="207"/>
      <c r="D29" s="207"/>
      <c r="E29" s="207"/>
      <c r="F29" s="207" t="s">
        <v>6384</v>
      </c>
      <c r="G29" s="207"/>
      <c r="H29" s="207"/>
      <c r="I29" s="207"/>
      <c r="J29" s="207"/>
      <c r="K29" s="207"/>
      <c r="L29" s="207"/>
      <c r="M29" s="207"/>
      <c r="N29" s="207"/>
      <c r="O29" s="207"/>
      <c r="P29" s="207"/>
      <c r="Q29" s="207" t="s">
        <v>6258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5958</v>
      </c>
      <c r="B31" s="207"/>
      <c r="C31" s="207"/>
      <c r="D31" s="207"/>
      <c r="E31" s="207"/>
      <c r="F31" s="207" t="s">
        <v>5969</v>
      </c>
      <c r="G31" s="207"/>
      <c r="H31" s="207"/>
      <c r="I31" s="207"/>
      <c r="J31" s="207"/>
      <c r="K31" s="207"/>
      <c r="L31" s="207"/>
      <c r="M31" s="207"/>
      <c r="N31" s="207"/>
      <c r="O31" s="207"/>
      <c r="P31" s="207"/>
      <c r="Q31" s="207" t="s">
        <v>5973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5958</v>
      </c>
      <c r="B33" s="207"/>
      <c r="C33" s="207"/>
      <c r="D33" s="207"/>
      <c r="E33" s="207"/>
      <c r="F33" s="207" t="s">
        <v>5945</v>
      </c>
      <c r="G33" s="207"/>
      <c r="H33" s="207"/>
      <c r="I33" s="207"/>
      <c r="J33" s="207"/>
      <c r="K33" s="207"/>
      <c r="L33" s="207"/>
      <c r="M33" s="207"/>
      <c r="N33" s="207"/>
      <c r="O33" s="207"/>
      <c r="P33" s="207"/>
      <c r="Q33" s="207" t="s">
        <v>5950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5958</v>
      </c>
      <c r="B35" s="207"/>
      <c r="C35" s="207"/>
      <c r="D35" s="207"/>
      <c r="E35" s="207"/>
      <c r="F35" s="207" t="s">
        <v>6064</v>
      </c>
      <c r="G35" s="207"/>
      <c r="H35" s="207"/>
      <c r="I35" s="207"/>
      <c r="J35" s="207"/>
      <c r="K35" s="207"/>
      <c r="L35" s="207"/>
      <c r="M35" s="207"/>
      <c r="N35" s="207"/>
      <c r="O35" s="207"/>
      <c r="P35" s="207"/>
      <c r="Q35" s="207" t="s">
        <v>6068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5958</v>
      </c>
      <c r="B37" s="207"/>
      <c r="C37" s="207"/>
      <c r="D37" s="207"/>
      <c r="E37" s="207"/>
      <c r="F37" s="207" t="s">
        <v>5958</v>
      </c>
      <c r="G37" s="207"/>
      <c r="H37" s="207"/>
      <c r="I37" s="207"/>
      <c r="J37" s="207"/>
      <c r="K37" s="207"/>
      <c r="L37" s="207"/>
      <c r="M37" s="207"/>
      <c r="N37" s="207"/>
      <c r="O37" s="207"/>
      <c r="P37" s="207"/>
      <c r="Q37" s="207" t="s">
        <v>6170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5958</v>
      </c>
      <c r="B39" s="207"/>
      <c r="C39" s="207"/>
      <c r="D39" s="207"/>
      <c r="E39" s="207"/>
      <c r="F39" s="207" t="s">
        <v>5998</v>
      </c>
      <c r="G39" s="207"/>
      <c r="H39" s="207"/>
      <c r="I39" s="207"/>
      <c r="J39" s="207"/>
      <c r="K39" s="207"/>
      <c r="L39" s="207"/>
      <c r="M39" s="207"/>
      <c r="N39" s="207"/>
      <c r="O39" s="207"/>
      <c r="P39" s="207"/>
      <c r="Q39" s="207" t="s">
        <v>6002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5958</v>
      </c>
      <c r="B41" s="207"/>
      <c r="C41" s="207"/>
      <c r="D41" s="207"/>
      <c r="E41" s="207"/>
      <c r="F41" s="207" t="s">
        <v>6057</v>
      </c>
      <c r="G41" s="207"/>
      <c r="H41" s="207"/>
      <c r="I41" s="207"/>
      <c r="J41" s="207"/>
      <c r="K41" s="207"/>
      <c r="L41" s="207"/>
      <c r="M41" s="207"/>
      <c r="N41" s="207"/>
      <c r="O41" s="207"/>
      <c r="P41" s="207"/>
      <c r="Q41" s="207" t="s">
        <v>6061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5958</v>
      </c>
      <c r="B43" s="207"/>
      <c r="C43" s="207"/>
      <c r="D43" s="207"/>
      <c r="E43" s="207"/>
      <c r="F43" s="207" t="s">
        <v>5975</v>
      </c>
      <c r="G43" s="207"/>
      <c r="H43" s="207"/>
      <c r="I43" s="207"/>
      <c r="J43" s="207"/>
      <c r="K43" s="207"/>
      <c r="L43" s="207"/>
      <c r="M43" s="207"/>
      <c r="N43" s="207"/>
      <c r="O43" s="207"/>
      <c r="P43" s="207"/>
      <c r="Q43" s="207" t="s">
        <v>5979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5958</v>
      </c>
      <c r="B45" s="207"/>
      <c r="C45" s="207"/>
      <c r="D45" s="207"/>
      <c r="E45" s="207"/>
      <c r="F45" s="207" t="s">
        <v>5952</v>
      </c>
      <c r="G45" s="207"/>
      <c r="H45" s="207"/>
      <c r="I45" s="207"/>
      <c r="J45" s="207"/>
      <c r="K45" s="207"/>
      <c r="L45" s="207"/>
      <c r="M45" s="207"/>
      <c r="N45" s="207"/>
      <c r="O45" s="207"/>
      <c r="P45" s="207"/>
      <c r="Q45" s="207" t="s">
        <v>5956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5958</v>
      </c>
      <c r="B47" s="207"/>
      <c r="C47" s="207"/>
      <c r="D47" s="207"/>
      <c r="E47" s="207"/>
      <c r="F47" s="207" t="s">
        <v>6393</v>
      </c>
      <c r="G47" s="207"/>
      <c r="H47" s="207"/>
      <c r="I47" s="207"/>
      <c r="J47" s="207"/>
      <c r="K47" s="207"/>
      <c r="L47" s="207"/>
      <c r="M47" s="207"/>
      <c r="N47" s="207"/>
      <c r="O47" s="207"/>
      <c r="P47" s="207"/>
      <c r="Q47" s="207" t="s">
        <v>6031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5958</v>
      </c>
      <c r="B49" s="207"/>
      <c r="C49" s="207"/>
      <c r="D49" s="207"/>
      <c r="E49" s="207"/>
      <c r="F49" s="207" t="s">
        <v>5963</v>
      </c>
      <c r="G49" s="207"/>
      <c r="H49" s="207"/>
      <c r="I49" s="207"/>
      <c r="J49" s="207"/>
      <c r="K49" s="207"/>
      <c r="L49" s="207"/>
      <c r="M49" s="207"/>
      <c r="N49" s="207"/>
      <c r="O49" s="207"/>
      <c r="P49" s="207"/>
      <c r="Q49" s="207" t="s">
        <v>5967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5958</v>
      </c>
      <c r="B51" s="207"/>
      <c r="C51" s="207"/>
      <c r="D51" s="207"/>
      <c r="E51" s="207"/>
      <c r="F51" s="207" t="s">
        <v>5958</v>
      </c>
      <c r="G51" s="207"/>
      <c r="H51" s="207"/>
      <c r="I51" s="207"/>
      <c r="J51" s="207"/>
      <c r="K51" s="207"/>
      <c r="L51" s="207"/>
      <c r="M51" s="207"/>
      <c r="N51" s="207"/>
      <c r="O51" s="207"/>
      <c r="P51" s="207"/>
      <c r="Q51" s="207" t="s">
        <v>6212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6288</v>
      </c>
      <c r="B53" s="207"/>
      <c r="C53" s="207"/>
      <c r="D53" s="207"/>
      <c r="E53" s="207"/>
      <c r="F53" s="207" t="s">
        <v>5958</v>
      </c>
      <c r="G53" s="207"/>
      <c r="H53" s="207"/>
      <c r="I53" s="207"/>
      <c r="J53" s="207"/>
      <c r="K53" s="207"/>
      <c r="L53" s="207"/>
      <c r="M53" s="207"/>
      <c r="N53" s="207"/>
      <c r="O53" s="207"/>
      <c r="P53" s="207"/>
      <c r="Q53" s="207" t="s">
        <v>6293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6288</v>
      </c>
      <c r="B55" s="207"/>
      <c r="C55" s="207"/>
      <c r="D55" s="207"/>
      <c r="E55" s="207"/>
      <c r="F55" s="207" t="s">
        <v>6397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6399</v>
      </c>
      <c r="B59" s="207"/>
      <c r="C59" s="207" t="s">
        <v>6400</v>
      </c>
      <c r="D59" s="207"/>
      <c r="E59" s="207"/>
      <c r="F59" s="207" t="s">
        <v>6401</v>
      </c>
      <c r="G59" s="207"/>
      <c r="H59" s="207"/>
      <c r="I59" s="207"/>
      <c r="J59" s="207"/>
      <c r="K59" s="207"/>
      <c r="L59" s="207" t="s">
        <v>6402</v>
      </c>
      <c r="M59" s="207"/>
      <c r="N59" s="207"/>
      <c r="O59" s="207"/>
      <c r="P59" s="207"/>
      <c r="Q59" s="207"/>
      <c r="R59" s="207" t="s">
        <v>6283</v>
      </c>
      <c r="S59" s="207"/>
      <c r="T59" s="207"/>
      <c r="U59" s="207" t="s">
        <v>5942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6403</v>
      </c>
      <c r="B60" s="207"/>
      <c r="C60" s="207"/>
      <c r="D60" s="207" t="s">
        <v>6404</v>
      </c>
      <c r="E60" s="207"/>
      <c r="F60" s="207"/>
      <c r="G60" s="207"/>
      <c r="H60" s="207"/>
      <c r="I60" s="207" t="s">
        <v>6405</v>
      </c>
      <c r="J60" s="207"/>
      <c r="K60" s="207"/>
      <c r="L60" s="207"/>
      <c r="M60" s="207"/>
      <c r="N60" s="207"/>
      <c r="O60" s="207"/>
      <c r="P60" s="207"/>
      <c r="Q60" s="207" t="s">
        <v>6406</v>
      </c>
      <c r="R60" s="207"/>
      <c r="S60" s="207"/>
      <c r="T60" s="207"/>
      <c r="U60" s="207" t="s">
        <v>6258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6408</v>
      </c>
      <c r="B62" s="207"/>
      <c r="C62" s="207"/>
      <c r="D62" s="207" t="s">
        <v>6409</v>
      </c>
      <c r="E62" s="207"/>
      <c r="F62" s="207"/>
      <c r="G62" s="207"/>
      <c r="H62" s="207"/>
      <c r="I62" s="207" t="s">
        <v>6410</v>
      </c>
      <c r="J62" s="207"/>
      <c r="K62" s="207"/>
      <c r="L62" s="207"/>
      <c r="M62" s="207"/>
      <c r="N62" s="207"/>
      <c r="O62" s="207"/>
      <c r="P62" s="207"/>
      <c r="Q62" s="207" t="s">
        <v>6411</v>
      </c>
      <c r="R62" s="207"/>
      <c r="S62" s="207"/>
      <c r="T62" s="207"/>
      <c r="U62" s="207" t="s">
        <v>6031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5958</v>
      </c>
      <c r="B64" s="207"/>
      <c r="C64" s="207"/>
      <c r="D64" s="207" t="s">
        <v>5958</v>
      </c>
      <c r="E64" s="207"/>
      <c r="F64" s="207"/>
      <c r="G64" s="207"/>
      <c r="H64" s="207"/>
      <c r="I64" s="207" t="s">
        <v>5958</v>
      </c>
      <c r="J64" s="207"/>
      <c r="K64" s="207"/>
      <c r="L64" s="207"/>
      <c r="M64" s="207"/>
      <c r="N64" s="207"/>
      <c r="O64" s="207"/>
      <c r="P64" s="207"/>
      <c r="Q64" s="207" t="s">
        <v>5958</v>
      </c>
      <c r="R64" s="207"/>
      <c r="S64" s="207"/>
      <c r="T64" s="207"/>
      <c r="U64" s="207" t="s">
        <v>6061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6413</v>
      </c>
      <c r="B66" s="207"/>
      <c r="C66" s="207"/>
      <c r="D66" s="207" t="s">
        <v>6414</v>
      </c>
      <c r="E66" s="207"/>
      <c r="F66" s="207"/>
      <c r="G66" s="207"/>
      <c r="H66" s="207"/>
      <c r="I66" s="207"/>
      <c r="J66" s="207"/>
      <c r="K66" s="207" t="s">
        <v>6415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6417</v>
      </c>
      <c r="E70" s="207"/>
      <c r="F70" s="207"/>
      <c r="G70" s="207"/>
      <c r="H70" s="207"/>
      <c r="I70" s="207" t="s">
        <v>6418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5939</v>
      </c>
      <c r="M71" s="207"/>
      <c r="N71" s="207"/>
      <c r="O71" s="207"/>
      <c r="P71" s="207" t="s">
        <v>6419</v>
      </c>
      <c r="Q71" s="207" t="s">
        <v>6420</v>
      </c>
      <c r="R71" s="207"/>
      <c r="S71" s="207" t="s">
        <v>6421</v>
      </c>
      <c r="T71" s="207"/>
      <c r="U71" s="207" t="s">
        <v>6422</v>
      </c>
      <c r="V71" s="207"/>
      <c r="W71" s="207"/>
      <c r="X71" s="207" t="s">
        <v>6423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6424</v>
      </c>
      <c r="B74" s="207" t="s">
        <v>6425</v>
      </c>
      <c r="C74" s="207" t="s">
        <v>6426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5958</v>
      </c>
      <c r="C77" s="207" t="s">
        <v>6427</v>
      </c>
      <c r="D77" s="207"/>
      <c r="E77" s="207"/>
      <c r="F77" s="207" t="s">
        <v>6428</v>
      </c>
      <c r="G77" s="207"/>
      <c r="H77" s="207"/>
      <c r="I77" s="207"/>
      <c r="J77" s="207" t="s">
        <v>6429</v>
      </c>
      <c r="K77" s="207"/>
      <c r="L77" s="207"/>
      <c r="M77" s="207"/>
      <c r="N77" s="207"/>
      <c r="O77" s="207" t="s">
        <v>6266</v>
      </c>
      <c r="P77" s="207"/>
      <c r="Q77" s="207" t="s">
        <v>5948</v>
      </c>
      <c r="R77" s="207"/>
      <c r="S77" s="207" t="s">
        <v>6127</v>
      </c>
      <c r="T77" s="207"/>
      <c r="U77" s="207" t="s">
        <v>6126</v>
      </c>
      <c r="V77" s="207"/>
      <c r="W77" s="207"/>
      <c r="X77" s="207" t="s">
        <v>6430</v>
      </c>
      <c r="Y77" s="207"/>
      <c r="Z77" s="207" t="s">
        <v>6431</v>
      </c>
      <c r="AA77" s="207"/>
      <c r="AB77" s="207"/>
      <c r="AC77" s="207" t="s">
        <v>6128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5958</v>
      </c>
      <c r="C81" s="207" t="s">
        <v>6432</v>
      </c>
      <c r="D81" s="207"/>
      <c r="E81" s="207"/>
      <c r="F81" s="207" t="s">
        <v>6433</v>
      </c>
      <c r="G81" s="207"/>
      <c r="H81" s="207"/>
      <c r="I81" s="207"/>
      <c r="J81" s="207" t="s">
        <v>6434</v>
      </c>
      <c r="K81" s="207"/>
      <c r="L81" s="207"/>
      <c r="M81" s="207"/>
      <c r="N81" s="207"/>
      <c r="O81" s="207" t="s">
        <v>6435</v>
      </c>
      <c r="P81" s="207"/>
      <c r="Q81" s="207" t="s">
        <v>5948</v>
      </c>
      <c r="R81" s="207"/>
      <c r="S81" s="207" t="s">
        <v>6081</v>
      </c>
      <c r="T81" s="207"/>
      <c r="U81" s="207" t="s">
        <v>6080</v>
      </c>
      <c r="V81" s="207"/>
      <c r="W81" s="207"/>
      <c r="X81" s="207" t="s">
        <v>6436</v>
      </c>
      <c r="Y81" s="207"/>
      <c r="Z81" s="207" t="s">
        <v>6431</v>
      </c>
      <c r="AA81" s="207"/>
      <c r="AB81" s="207"/>
      <c r="AC81" s="207" t="s">
        <v>6082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5958</v>
      </c>
      <c r="C84" s="207" t="s">
        <v>6437</v>
      </c>
      <c r="D84" s="207"/>
      <c r="E84" s="207"/>
      <c r="F84" s="207" t="s">
        <v>6438</v>
      </c>
      <c r="G84" s="207"/>
      <c r="H84" s="207"/>
      <c r="I84" s="207"/>
      <c r="J84" s="207" t="s">
        <v>6439</v>
      </c>
      <c r="K84" s="207"/>
      <c r="L84" s="207"/>
      <c r="M84" s="207"/>
      <c r="N84" s="207"/>
      <c r="O84" s="207" t="s">
        <v>6266</v>
      </c>
      <c r="P84" s="207"/>
      <c r="Q84" s="207" t="s">
        <v>5948</v>
      </c>
      <c r="R84" s="207"/>
      <c r="S84" s="207" t="s">
        <v>5949</v>
      </c>
      <c r="T84" s="207"/>
      <c r="U84" s="207" t="s">
        <v>6440</v>
      </c>
      <c r="V84" s="207"/>
      <c r="W84" s="207"/>
      <c r="X84" s="207" t="s">
        <v>6441</v>
      </c>
      <c r="Y84" s="207"/>
      <c r="Z84" s="207" t="s">
        <v>6431</v>
      </c>
      <c r="AA84" s="207"/>
      <c r="AB84" s="207"/>
      <c r="AC84" s="207" t="s">
        <v>5950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5958</v>
      </c>
      <c r="C87" s="207" t="s">
        <v>6442</v>
      </c>
      <c r="D87" s="207"/>
      <c r="E87" s="207"/>
      <c r="F87" s="207" t="s">
        <v>6443</v>
      </c>
      <c r="G87" s="207"/>
      <c r="H87" s="207"/>
      <c r="I87" s="207"/>
      <c r="J87" s="207" t="s">
        <v>6444</v>
      </c>
      <c r="K87" s="207"/>
      <c r="L87" s="207"/>
      <c r="M87" s="207"/>
      <c r="N87" s="207"/>
      <c r="O87" s="207" t="s">
        <v>6445</v>
      </c>
      <c r="P87" s="207"/>
      <c r="Q87" s="207" t="s">
        <v>5948</v>
      </c>
      <c r="R87" s="207"/>
      <c r="S87" s="207" t="s">
        <v>6298</v>
      </c>
      <c r="T87" s="207"/>
      <c r="U87" s="207" t="s">
        <v>6297</v>
      </c>
      <c r="V87" s="207"/>
      <c r="W87" s="207"/>
      <c r="X87" s="207" t="s">
        <v>6430</v>
      </c>
      <c r="Y87" s="207"/>
      <c r="Z87" s="207" t="s">
        <v>6431</v>
      </c>
      <c r="AA87" s="207"/>
      <c r="AB87" s="207"/>
      <c r="AC87" s="207" t="s">
        <v>6299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5958</v>
      </c>
      <c r="C90" s="207" t="s">
        <v>6446</v>
      </c>
      <c r="D90" s="207"/>
      <c r="E90" s="207"/>
      <c r="F90" s="207" t="s">
        <v>6447</v>
      </c>
      <c r="G90" s="207"/>
      <c r="H90" s="207"/>
      <c r="I90" s="207"/>
      <c r="J90" s="207" t="s">
        <v>6448</v>
      </c>
      <c r="K90" s="207"/>
      <c r="L90" s="207"/>
      <c r="M90" s="207"/>
      <c r="N90" s="207"/>
      <c r="O90" s="207" t="s">
        <v>6449</v>
      </c>
      <c r="P90" s="207"/>
      <c r="Q90" s="207" t="s">
        <v>5958</v>
      </c>
      <c r="R90" s="207"/>
      <c r="S90" s="207" t="s">
        <v>6450</v>
      </c>
      <c r="T90" s="207"/>
      <c r="U90" s="207" t="s">
        <v>6451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6454</v>
      </c>
      <c r="R98" s="207"/>
      <c r="S98" s="207"/>
      <c r="T98" s="207"/>
      <c r="U98" s="207" t="s">
        <v>6455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6426</v>
      </c>
      <c r="S101" s="207"/>
      <c r="T101" s="207"/>
      <c r="U101" s="207" t="s">
        <v>6456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6426</v>
      </c>
      <c r="R106" s="207"/>
      <c r="S106" s="207"/>
      <c r="T106" s="207"/>
      <c r="U106" s="207" t="s">
        <v>6457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20500</v>
      </c>
      <c r="H3" s="115">
        <f>C3*G3</f>
        <v>17917000</v>
      </c>
    </row>
    <row r="4" spans="1:8">
      <c r="A4" s="97"/>
      <c r="B4" s="97" t="s">
        <v>4219</v>
      </c>
      <c r="C4" s="97">
        <v>295000</v>
      </c>
      <c r="D4" s="115">
        <v>148594302</v>
      </c>
      <c r="E4" s="115">
        <f>D4/C4</f>
        <v>503.70949830508476</v>
      </c>
      <c r="F4" s="115">
        <f>E4*1.01</f>
        <v>508.74659328813561</v>
      </c>
      <c r="G4" s="97">
        <f>'برنامه 5 ساله'!P31</f>
        <v>1026</v>
      </c>
      <c r="H4" s="115">
        <f>C4*G4</f>
        <v>302670000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328951261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1026</v>
      </c>
      <c r="H19" s="115">
        <f>C19*G19</f>
        <v>13272336</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288549964</v>
      </c>
    </row>
    <row r="26" spans="1:8">
      <c r="D26" t="s">
        <v>5405</v>
      </c>
      <c r="E26" s="112">
        <f>'خرید خانه'!H10+'خرید خانه'!H23-'خرید خانه'!D10-'خرید خانه'!D23</f>
        <v>315801225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2021-05-16T08:46:30Z</dcterms:modified>
</cp:coreProperties>
</file>