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356" i="18" l="1"/>
  <c r="G88" i="63"/>
  <c r="H88" i="63"/>
  <c r="I88" i="63"/>
  <c r="O34" i="18"/>
  <c r="K115" i="63" l="1"/>
  <c r="K116" i="63"/>
  <c r="K117" i="63"/>
  <c r="H243" i="18" l="1"/>
  <c r="W355" i="18"/>
  <c r="I87" i="63"/>
  <c r="H87" i="63"/>
  <c r="K88" i="63" s="1"/>
  <c r="G87" i="63"/>
  <c r="P368" i="52"/>
  <c r="O368" i="52"/>
  <c r="N368" i="52"/>
  <c r="N369" i="52"/>
  <c r="N370" i="52"/>
  <c r="N371" i="52"/>
  <c r="P372" i="52" s="1"/>
  <c r="N372" i="52"/>
  <c r="N373" i="52"/>
  <c r="N374" i="52"/>
  <c r="P375" i="52" s="1"/>
  <c r="N375" i="52"/>
  <c r="N376" i="52"/>
  <c r="N377" i="52"/>
  <c r="N367" i="52"/>
  <c r="O365" i="52"/>
  <c r="P365" i="52"/>
  <c r="O366" i="52"/>
  <c r="P366" i="52"/>
  <c r="O367" i="52"/>
  <c r="P367" i="52"/>
  <c r="O369" i="52"/>
  <c r="O370" i="52"/>
  <c r="O371" i="52"/>
  <c r="O372" i="52"/>
  <c r="O373" i="52"/>
  <c r="P373" i="52"/>
  <c r="O374" i="52"/>
  <c r="P374" i="52"/>
  <c r="O375" i="52"/>
  <c r="O376" i="52"/>
  <c r="P376" i="52"/>
  <c r="O377" i="52"/>
  <c r="P377" i="52"/>
  <c r="J366" i="52"/>
  <c r="J367" i="52"/>
  <c r="J368" i="52"/>
  <c r="J369" i="52"/>
  <c r="J370" i="52"/>
  <c r="J371" i="52"/>
  <c r="J372" i="52"/>
  <c r="J373" i="52"/>
  <c r="J374" i="52"/>
  <c r="J375" i="52"/>
  <c r="J376" i="52"/>
  <c r="J377" i="52"/>
  <c r="W354" i="18"/>
  <c r="P371" i="52" l="1"/>
  <c r="P370" i="52"/>
  <c r="P369" i="52"/>
  <c r="W353" i="18"/>
  <c r="F133" i="63"/>
  <c r="E133" i="63"/>
  <c r="G114" i="63"/>
  <c r="H114" i="63"/>
  <c r="K114" i="63" s="1"/>
  <c r="I114" i="63"/>
  <c r="G113" i="63"/>
  <c r="H113" i="63"/>
  <c r="I113" i="63"/>
  <c r="F135" i="63" l="1"/>
  <c r="G112" i="63"/>
  <c r="H112" i="63"/>
  <c r="I112" i="63"/>
  <c r="G111" i="63"/>
  <c r="H111" i="63"/>
  <c r="I111" i="63"/>
  <c r="K112" i="63" l="1"/>
  <c r="K113" i="63"/>
  <c r="W352" i="18"/>
  <c r="S227" i="18"/>
  <c r="AL428" i="18"/>
  <c r="AM428" i="18" s="1"/>
  <c r="AL427" i="18" l="1"/>
  <c r="W374" i="18"/>
  <c r="L52" i="18"/>
  <c r="AL426" i="18" l="1"/>
  <c r="AM427" i="18"/>
  <c r="W351" i="18"/>
  <c r="AM426" i="18" l="1"/>
  <c r="AL425" i="18"/>
  <c r="O362" i="52"/>
  <c r="J362" i="52"/>
  <c r="AL424" i="18" l="1"/>
  <c r="AM425" i="18"/>
  <c r="E142" i="63"/>
  <c r="D142" i="63"/>
  <c r="AM424" i="18" l="1"/>
  <c r="AL423" i="18"/>
  <c r="E144" i="63"/>
  <c r="AL422" i="18" l="1"/>
  <c r="AM423" i="18"/>
  <c r="M193" i="18"/>
  <c r="L193" i="18"/>
  <c r="AM422" i="18" l="1"/>
  <c r="AL421" i="18"/>
  <c r="M359" i="52"/>
  <c r="M360" i="52" s="1"/>
  <c r="W350" i="18"/>
  <c r="AL420" i="18" l="1"/>
  <c r="AM421" i="18"/>
  <c r="W349" i="18"/>
  <c r="AM420" i="18" l="1"/>
  <c r="AL419" i="18"/>
  <c r="R396" i="18"/>
  <c r="W348" i="18"/>
  <c r="AL418" i="18" l="1"/>
  <c r="AM419" i="18"/>
  <c r="M192" i="18"/>
  <c r="L192" i="18"/>
  <c r="W347" i="18"/>
  <c r="AM418" i="18" l="1"/>
  <c r="AL417" i="18"/>
  <c r="W346" i="18"/>
  <c r="AL416" i="18" l="1"/>
  <c r="AM417" i="18"/>
  <c r="U362" i="18"/>
  <c r="W345" i="18"/>
  <c r="AM416" i="18" l="1"/>
  <c r="AL415" i="18"/>
  <c r="D144" i="58"/>
  <c r="AL414" i="18" l="1"/>
  <c r="AM415" i="18"/>
  <c r="M191" i="18"/>
  <c r="L191" i="18"/>
  <c r="I175" i="18"/>
  <c r="J175" i="18" s="1"/>
  <c r="J180" i="18" s="1"/>
  <c r="G175" i="18"/>
  <c r="AM414" i="18" l="1"/>
  <c r="AL413" i="18"/>
  <c r="M190" i="18"/>
  <c r="L190" i="18"/>
  <c r="G94" i="63"/>
  <c r="H94" i="63"/>
  <c r="I94" i="63"/>
  <c r="F95" i="63"/>
  <c r="C95" i="63"/>
  <c r="AL412" i="18" l="1"/>
  <c r="AM413" i="18"/>
  <c r="I95" i="63"/>
  <c r="G95" i="63"/>
  <c r="H95" i="63"/>
  <c r="K95" i="63" s="1"/>
  <c r="L187" i="18"/>
  <c r="M187" i="18"/>
  <c r="L188" i="18"/>
  <c r="M188" i="18"/>
  <c r="L189" i="18"/>
  <c r="M189" i="18"/>
  <c r="L196" i="18"/>
  <c r="M196" i="18"/>
  <c r="N50" i="18"/>
  <c r="P44" i="18"/>
  <c r="L109" i="63"/>
  <c r="AM412" i="18" l="1"/>
  <c r="AL411" i="18"/>
  <c r="O348" i="52"/>
  <c r="G132" i="18"/>
  <c r="J132" i="18" s="1"/>
  <c r="W344" i="18"/>
  <c r="AL410" i="18" l="1"/>
  <c r="AM411" i="18"/>
  <c r="G109" i="18"/>
  <c r="G108" i="18"/>
  <c r="P22" i="18"/>
  <c r="N22" i="18" s="1"/>
  <c r="P29" i="18"/>
  <c r="N29" i="18" s="1"/>
  <c r="N46" i="18"/>
  <c r="J153" i="18"/>
  <c r="G152" i="18"/>
  <c r="J152" i="18" s="1"/>
  <c r="W343" i="18"/>
  <c r="J347" i="52"/>
  <c r="AM410" i="18" l="1"/>
  <c r="AL409" i="18"/>
  <c r="I155" i="18"/>
  <c r="L186" i="18"/>
  <c r="M186" i="18"/>
  <c r="M185" i="18"/>
  <c r="L185" i="18"/>
  <c r="W342" i="18"/>
  <c r="AM409" i="18" l="1"/>
  <c r="AL408" i="18"/>
  <c r="F120" i="63"/>
  <c r="C120" i="63"/>
  <c r="W341" i="18"/>
  <c r="AM408" i="18" l="1"/>
  <c r="AL407" i="18"/>
  <c r="I120" i="63"/>
  <c r="G120" i="63"/>
  <c r="H120" i="63"/>
  <c r="K120" i="63" s="1"/>
  <c r="P24" i="18"/>
  <c r="N24" i="18" s="1"/>
  <c r="P30" i="18"/>
  <c r="N30" i="18" s="1"/>
  <c r="N51" i="18"/>
  <c r="AL406" i="18" l="1"/>
  <c r="AM407" i="18"/>
  <c r="N103" i="63"/>
  <c r="AL405" i="18" l="1"/>
  <c r="AM406" i="18"/>
  <c r="L95" i="63" l="1"/>
  <c r="W340"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39" i="18"/>
  <c r="N120" i="63" l="1"/>
  <c r="N121" i="63"/>
  <c r="M122" i="63"/>
  <c r="W338" i="18"/>
  <c r="M123" i="63" l="1"/>
  <c r="N122" i="63"/>
  <c r="W337" i="18"/>
  <c r="N348" i="52"/>
  <c r="M124" i="63" l="1"/>
  <c r="N123" i="63"/>
  <c r="W336" i="18"/>
  <c r="M125" i="63" l="1"/>
  <c r="N124" i="63"/>
  <c r="N125" i="63" l="1"/>
  <c r="M126" i="63"/>
  <c r="L80" i="63"/>
  <c r="M127" i="63" l="1"/>
  <c r="N126" i="63"/>
  <c r="R180" i="18"/>
  <c r="M128" i="63" l="1"/>
  <c r="N127" i="63"/>
  <c r="O333" i="52"/>
  <c r="M129" i="63" l="1"/>
  <c r="N128" i="63"/>
  <c r="M130" i="63" l="1"/>
  <c r="N129" i="63"/>
  <c r="J333" i="52"/>
  <c r="M131" i="63" l="1"/>
  <c r="N130" i="63"/>
  <c r="J332" i="52"/>
  <c r="M132" i="63" l="1"/>
  <c r="N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4" i="52" l="1"/>
  <c r="P361" i="52"/>
  <c r="P359" i="52"/>
  <c r="P357" i="52"/>
  <c r="P344" i="52"/>
  <c r="P342" i="52"/>
  <c r="P336" i="52"/>
  <c r="P352" i="52"/>
  <c r="P350" i="52"/>
  <c r="P347" i="52"/>
  <c r="P346" i="52"/>
  <c r="P360" i="52"/>
  <c r="P358" i="52"/>
  <c r="P351" i="52"/>
  <c r="P345" i="52"/>
  <c r="P333" i="52"/>
  <c r="P353" i="52"/>
  <c r="P356" i="52"/>
  <c r="P354" i="52"/>
  <c r="P335" i="52"/>
  <c r="M133" i="63"/>
  <c r="N132" i="63"/>
  <c r="P343" i="52"/>
  <c r="P341" i="52"/>
  <c r="P340" i="52"/>
  <c r="P338" i="52"/>
  <c r="P337" i="52"/>
  <c r="P349" i="52"/>
  <c r="P363" i="52"/>
  <c r="P355" i="52"/>
  <c r="P339" i="52"/>
  <c r="P332" i="52"/>
  <c r="P334" i="52"/>
  <c r="P331" i="52"/>
  <c r="J327" i="52"/>
  <c r="O327" i="52"/>
  <c r="M134" i="63" l="1"/>
  <c r="N133" i="63"/>
  <c r="M80" i="63"/>
  <c r="M135" i="63" l="1"/>
  <c r="N135" i="63" s="1"/>
  <c r="N134"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6" i="18"/>
  <c r="G144" i="18" l="1"/>
  <c r="J144" i="18" s="1"/>
  <c r="W33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I77" i="63"/>
  <c r="W333" i="18"/>
  <c r="O305" i="52"/>
  <c r="J305" i="52"/>
  <c r="D416" i="15" l="1"/>
  <c r="F417" i="15"/>
  <c r="D415" i="15" l="1"/>
  <c r="F416" i="15"/>
  <c r="W332" i="18"/>
  <c r="W331" i="18"/>
  <c r="O302" i="52"/>
  <c r="F415" i="15" l="1"/>
  <c r="D414" i="15"/>
  <c r="G143" i="18"/>
  <c r="D413" i="15" l="1"/>
  <c r="F414" i="15"/>
  <c r="V381" i="18"/>
  <c r="D412" i="15" l="1"/>
  <c r="F413" i="15"/>
  <c r="W330" i="18"/>
  <c r="O301" i="52"/>
  <c r="J143" i="18"/>
  <c r="J148" i="18" l="1"/>
  <c r="L46" i="18" s="1"/>
  <c r="F412" i="15"/>
  <c r="D411" i="15"/>
  <c r="I148"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3" i="18"/>
  <c r="X374" i="18" s="1"/>
  <c r="X369" i="18"/>
  <c r="X370" i="18" s="1"/>
  <c r="D408" i="15" l="1"/>
  <c r="F409" i="15"/>
  <c r="X372" i="18"/>
  <c r="X371" i="18"/>
  <c r="W324" i="18"/>
  <c r="W323" i="18"/>
  <c r="W322" i="18"/>
  <c r="P28" i="18"/>
  <c r="N28" i="18" s="1"/>
  <c r="O298" i="52"/>
  <c r="D407" i="15" l="1"/>
  <c r="F408" i="15"/>
  <c r="J298" i="52"/>
  <c r="AL222" i="18"/>
  <c r="AM222" i="18" s="1"/>
  <c r="AL223" i="18"/>
  <c r="AM223" i="18" s="1"/>
  <c r="AL224" i="18"/>
  <c r="AM224" i="18" s="1"/>
  <c r="AL225" i="18"/>
  <c r="AM225" i="18" s="1"/>
  <c r="F407" i="15" l="1"/>
  <c r="D406" i="15"/>
  <c r="O297" i="52"/>
  <c r="W321" i="18"/>
  <c r="W320" i="18"/>
  <c r="W319" i="18"/>
  <c r="D405" i="15" l="1"/>
  <c r="F406" i="15"/>
  <c r="T383" i="18"/>
  <c r="T385" i="18" s="1"/>
  <c r="W318" i="18"/>
  <c r="J296" i="52"/>
  <c r="D404" i="15" l="1"/>
  <c r="F405" i="15"/>
  <c r="J295" i="52"/>
  <c r="F404" i="15" l="1"/>
  <c r="D403" i="15"/>
  <c r="W317"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J162" i="18"/>
  <c r="W310" i="18"/>
  <c r="G161" i="18"/>
  <c r="J161" i="18" s="1"/>
  <c r="N45" i="18"/>
  <c r="F383" i="15" l="1"/>
  <c r="D382" i="15"/>
  <c r="O269" i="52"/>
  <c r="F382" i="15" l="1"/>
  <c r="D381" i="15"/>
  <c r="J268" i="52"/>
  <c r="N268" i="52"/>
  <c r="W30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5" i="18"/>
  <c r="J168" i="18" l="1"/>
  <c r="J166" i="18"/>
  <c r="J167" i="18"/>
  <c r="J170" i="18" s="1"/>
  <c r="J159" i="18"/>
  <c r="I163" i="18" s="1"/>
  <c r="F348" i="15"/>
  <c r="D347" i="15"/>
  <c r="O210" i="52"/>
  <c r="W294" i="18"/>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8" i="18"/>
  <c r="W287" i="18"/>
  <c r="W286" i="18"/>
  <c r="J202" i="52"/>
  <c r="D336" i="15" l="1"/>
  <c r="F337" i="15"/>
  <c r="W285" i="18"/>
  <c r="J201" i="52"/>
  <c r="W284" i="18"/>
  <c r="F336" i="15" l="1"/>
  <c r="D335" i="15"/>
  <c r="J200" i="52"/>
  <c r="D334" i="15" l="1"/>
  <c r="F335" i="15"/>
  <c r="W283" i="18"/>
  <c r="W282" i="18"/>
  <c r="AL221" i="18"/>
  <c r="AM221" i="18" s="1"/>
  <c r="F334" i="15" l="1"/>
  <c r="D333" i="15"/>
  <c r="W28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0" i="18"/>
  <c r="AM217" i="18" l="1"/>
  <c r="AL216" i="18"/>
  <c r="F330" i="15"/>
  <c r="D329" i="15"/>
  <c r="AM216" i="18" l="1"/>
  <c r="AL215" i="18"/>
  <c r="D328" i="15"/>
  <c r="F329" i="15"/>
  <c r="W279" i="18"/>
  <c r="AL214" i="18" l="1"/>
  <c r="AM215" i="18"/>
  <c r="D327" i="15"/>
  <c r="F328" i="15"/>
  <c r="W278" i="18"/>
  <c r="AM214" i="18" l="1"/>
  <c r="AL213" i="18"/>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8" i="18"/>
  <c r="S148"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5" i="18"/>
  <c r="N53"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G176" i="18" s="1"/>
  <c r="W266" i="18"/>
  <c r="O177" i="52"/>
  <c r="J177" i="52"/>
  <c r="M108" i="18" l="1"/>
  <c r="G17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7" i="60" l="1"/>
  <c r="D3" i="60"/>
  <c r="D4" i="60"/>
  <c r="D5" i="60"/>
  <c r="D2" i="60"/>
  <c r="F2" i="60"/>
  <c r="AL404" i="18" l="1"/>
  <c r="AM405" i="18"/>
  <c r="O162" i="52"/>
  <c r="J162" i="52"/>
  <c r="W260"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9" i="18"/>
  <c r="AL400" i="18" l="1"/>
  <c r="AM401" i="18"/>
  <c r="W258" i="18"/>
  <c r="AM400" i="18" l="1"/>
  <c r="AL399" i="18"/>
  <c r="AL190" i="18"/>
  <c r="AL398" i="18" l="1"/>
  <c r="AM399" i="18"/>
  <c r="AL189" i="18"/>
  <c r="AM190" i="18"/>
  <c r="N159" i="52"/>
  <c r="P160" i="52" s="1"/>
  <c r="W255"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4" i="18"/>
  <c r="W253" i="18"/>
  <c r="O150" i="52"/>
  <c r="AL393" i="18" l="1"/>
  <c r="AM394" i="18"/>
  <c r="AM185" i="18"/>
  <c r="AL184" i="18"/>
  <c r="AL392" i="18" l="1"/>
  <c r="AM393"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1" i="18"/>
  <c r="AM390" i="18" l="1"/>
  <c r="AL389" i="18"/>
  <c r="AM181" i="18"/>
  <c r="AL180" i="18"/>
  <c r="G137" i="18"/>
  <c r="J137" i="18" s="1"/>
  <c r="J139" i="18" s="1"/>
  <c r="I139" i="18" s="1"/>
  <c r="G131" i="18"/>
  <c r="J131" i="18" s="1"/>
  <c r="J133" i="18" s="1"/>
  <c r="I133" i="18" s="1"/>
  <c r="W250" i="18"/>
  <c r="AL388" i="18" l="1"/>
  <c r="AM389" i="18"/>
  <c r="AM180" i="18"/>
  <c r="AL179" i="18"/>
  <c r="O142" i="52"/>
  <c r="J142" i="52"/>
  <c r="W249" i="18"/>
  <c r="AL387" i="18" l="1"/>
  <c r="AM388" i="18"/>
  <c r="AM179" i="18"/>
  <c r="AL178" i="18"/>
  <c r="AM178" i="18" s="1"/>
  <c r="O140" i="52"/>
  <c r="J140" i="52"/>
  <c r="W248" i="18"/>
  <c r="AM387" i="18" l="1"/>
  <c r="AL386" i="18"/>
  <c r="W247" i="18"/>
  <c r="W246" i="18"/>
  <c r="O139" i="52"/>
  <c r="J139" i="52"/>
  <c r="AM386" i="18" l="1"/>
  <c r="AL385" i="18"/>
  <c r="W245" i="18"/>
  <c r="AM385" i="18" l="1"/>
  <c r="AL384" i="18"/>
  <c r="AM384" i="18" l="1"/>
  <c r="AL383" i="18"/>
  <c r="M41" i="52"/>
  <c r="AM383" i="18" l="1"/>
  <c r="AL382" i="18"/>
  <c r="O135" i="52"/>
  <c r="J135" i="52"/>
  <c r="AM382" i="18" l="1"/>
  <c r="AL381" i="18"/>
  <c r="AL380" i="18" l="1"/>
  <c r="AM381" i="18"/>
  <c r="W244" i="18"/>
  <c r="AL379" i="18" l="1"/>
  <c r="AM380" i="18"/>
  <c r="O132" i="52"/>
  <c r="W243" i="18"/>
  <c r="AM379" i="18" l="1"/>
  <c r="AL378" i="18"/>
  <c r="O131" i="52"/>
  <c r="J3" i="60"/>
  <c r="J4" i="60"/>
  <c r="J5" i="60"/>
  <c r="J2" i="60"/>
  <c r="I9" i="60"/>
  <c r="I7" i="60"/>
  <c r="AL377" i="18" l="1"/>
  <c r="AM378" i="18"/>
  <c r="O130" i="52"/>
  <c r="O129" i="52"/>
  <c r="W242" i="18"/>
  <c r="W241" i="18"/>
  <c r="AL376" i="18" l="1"/>
  <c r="AM377" i="18"/>
  <c r="N129" i="52"/>
  <c r="AL375" i="18" l="1"/>
  <c r="AM376" i="18"/>
  <c r="O127" i="52"/>
  <c r="AL374" i="18" l="1"/>
  <c r="AM375" i="18"/>
  <c r="J126" i="52"/>
  <c r="O126" i="52"/>
  <c r="W240" i="18"/>
  <c r="AM374" i="18" l="1"/>
  <c r="AL373" i="18"/>
  <c r="O125" i="52"/>
  <c r="J125" i="52"/>
  <c r="AM373" i="18" l="1"/>
  <c r="AL372" i="18"/>
  <c r="W239"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7" i="18"/>
  <c r="AM369" i="18" l="1"/>
  <c r="AL368" i="18"/>
  <c r="AM368" i="18" l="1"/>
  <c r="AL367" i="18"/>
  <c r="O121" i="52"/>
  <c r="J121" i="52"/>
  <c r="W236" i="18"/>
  <c r="AL366" i="18" l="1"/>
  <c r="AM367" i="18"/>
  <c r="W235" i="18"/>
  <c r="J120" i="52"/>
  <c r="AM366" i="18" l="1"/>
  <c r="AL365" i="18"/>
  <c r="AL364" i="18" l="1"/>
  <c r="AM365" i="18"/>
  <c r="O117" i="52"/>
  <c r="AM364" i="18" l="1"/>
  <c r="AL363" i="18"/>
  <c r="O116" i="52"/>
  <c r="N116" i="52"/>
  <c r="AM363" i="18" l="1"/>
  <c r="AL362" i="18"/>
  <c r="W234"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3" i="18"/>
  <c r="J108" i="52"/>
  <c r="AM354" i="18" l="1"/>
  <c r="AL353" i="18"/>
  <c r="D303" i="15"/>
  <c r="F303" i="15" s="1"/>
  <c r="W232" i="18"/>
  <c r="W231"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0"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9"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8"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1" i="18"/>
  <c r="T378" i="18" s="1"/>
  <c r="W227" i="18"/>
  <c r="W226" i="18"/>
  <c r="W225" i="18"/>
  <c r="M48" i="52"/>
  <c r="M47" i="52"/>
  <c r="N38" i="52"/>
  <c r="N37" i="52"/>
  <c r="M49" i="52"/>
  <c r="N50" i="52" s="1"/>
  <c r="AL337" i="18" l="1"/>
  <c r="AM338" i="18"/>
  <c r="D287" i="15"/>
  <c r="F287" i="15" s="1"/>
  <c r="N49" i="52"/>
  <c r="W224" i="18"/>
  <c r="AM337" i="18" l="1"/>
  <c r="AL336" i="18"/>
  <c r="D286" i="15"/>
  <c r="F286" i="15" s="1"/>
  <c r="AL335" i="18" l="1"/>
  <c r="AM336" i="18"/>
  <c r="D285" i="15"/>
  <c r="F285" i="15" s="1"/>
  <c r="W223"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33" i="18" l="1"/>
  <c r="AL332" i="18"/>
  <c r="D282" i="15"/>
  <c r="F282" i="15" s="1"/>
  <c r="G32" i="57"/>
  <c r="H32" i="57"/>
  <c r="D32" i="57"/>
  <c r="I32" i="57" s="1"/>
  <c r="D345" i="20"/>
  <c r="W221" i="18"/>
  <c r="W220"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9" i="18"/>
  <c r="D343" i="20"/>
  <c r="AL328" i="18" l="1"/>
  <c r="AM329" i="18"/>
  <c r="D278" i="15"/>
  <c r="F278" i="15" s="1"/>
  <c r="W218" i="18"/>
  <c r="D342" i="20"/>
  <c r="J83" i="52"/>
  <c r="O83" i="52"/>
  <c r="W217" i="18"/>
  <c r="W216" i="18"/>
  <c r="F44" i="14"/>
  <c r="F45" i="14"/>
  <c r="F46" i="14"/>
  <c r="F47" i="14"/>
  <c r="F48" i="14"/>
  <c r="F49" i="14"/>
  <c r="F50" i="14"/>
  <c r="D341" i="20"/>
  <c r="AL327" i="18" l="1"/>
  <c r="AM328" i="18"/>
  <c r="D277" i="15"/>
  <c r="F277" i="15" s="1"/>
  <c r="AJ429" i="18"/>
  <c r="AM327" i="18" l="1"/>
  <c r="AL326" i="18"/>
  <c r="D276" i="15"/>
  <c r="F276" i="15" s="1"/>
  <c r="W215" i="18"/>
  <c r="AL325" i="18" l="1"/>
  <c r="AM326" i="18"/>
  <c r="D340" i="20"/>
  <c r="W214" i="18"/>
  <c r="H337" i="20"/>
  <c r="H338" i="20"/>
  <c r="H339" i="20"/>
  <c r="H340" i="20"/>
  <c r="H341" i="20"/>
  <c r="H368" i="20"/>
  <c r="H369" i="20"/>
  <c r="D339" i="20"/>
  <c r="AL324" i="18" l="1"/>
  <c r="AM325" i="18"/>
  <c r="B371" i="20"/>
  <c r="D332" i="20"/>
  <c r="D333" i="20"/>
  <c r="D334" i="20"/>
  <c r="D335" i="20"/>
  <c r="D336" i="20"/>
  <c r="D337" i="20"/>
  <c r="D338" i="20"/>
  <c r="D369" i="20"/>
  <c r="AL323" i="18" l="1"/>
  <c r="AM324" i="18"/>
  <c r="W213" i="18"/>
  <c r="D80" i="57"/>
  <c r="AL322" i="18" l="1"/>
  <c r="AM323" i="18"/>
  <c r="G46" i="10"/>
  <c r="AL321" i="18" l="1"/>
  <c r="AM322" i="18"/>
  <c r="D331" i="20"/>
  <c r="AL320" i="18" l="1"/>
  <c r="AM321" i="18"/>
  <c r="D330" i="20"/>
  <c r="AL319" i="18" l="1"/>
  <c r="AM320" i="18"/>
  <c r="W212" i="18"/>
  <c r="W211"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0" i="18"/>
  <c r="W209" i="18"/>
  <c r="AL307" i="18" l="1"/>
  <c r="AM308"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8" i="18"/>
  <c r="W207" i="18"/>
  <c r="L36" i="18"/>
  <c r="N36" i="52"/>
  <c r="N35" i="52"/>
  <c r="Q42" i="52"/>
  <c r="AL305" i="18" l="1"/>
  <c r="AM306" i="18"/>
  <c r="W206" i="18"/>
  <c r="W205"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4" i="18"/>
  <c r="W203" i="18"/>
  <c r="N32" i="52"/>
  <c r="N31" i="52"/>
  <c r="AL300" i="18" l="1"/>
  <c r="AM300" i="18" s="1"/>
  <c r="AM301" i="18"/>
  <c r="W202" i="18"/>
  <c r="W201" i="18"/>
  <c r="N30" i="52"/>
  <c r="N29" i="52"/>
  <c r="W200" i="18" l="1"/>
  <c r="W199" i="18"/>
  <c r="N28" i="52"/>
  <c r="N27" i="52"/>
  <c r="AL299" i="18" l="1"/>
  <c r="D313" i="20"/>
  <c r="AL298" i="18" l="1"/>
  <c r="AM299" i="18"/>
  <c r="L115" i="18"/>
  <c r="L110" i="18" l="1"/>
  <c r="N110" i="18" s="1"/>
  <c r="L112" i="18"/>
  <c r="N112" i="18" s="1"/>
  <c r="L111" i="18"/>
  <c r="N111" i="18" s="1"/>
  <c r="M115" i="18"/>
  <c r="AM298" i="18"/>
  <c r="AL297" i="18"/>
  <c r="L107" i="18"/>
  <c r="W198" i="18"/>
  <c r="W197"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6" i="18"/>
  <c r="W195" i="18"/>
  <c r="N23" i="52"/>
  <c r="N22" i="52"/>
  <c r="I368" i="20" l="1"/>
  <c r="G367" i="20"/>
  <c r="J368" i="20"/>
  <c r="K368" i="20"/>
  <c r="AL294" i="18"/>
  <c r="AM295" i="18"/>
  <c r="W194" i="18"/>
  <c r="W193"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2" i="18"/>
  <c r="W191"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0" i="18"/>
  <c r="W189" i="18"/>
  <c r="N17" i="52"/>
  <c r="N16" i="52"/>
  <c r="AL170" i="18" l="1"/>
  <c r="AM171" i="18"/>
  <c r="I356" i="20"/>
  <c r="G355" i="20"/>
  <c r="J356" i="20"/>
  <c r="K356" i="20"/>
  <c r="L108"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4" i="18"/>
  <c r="AM120" i="18" l="1"/>
  <c r="AL119" i="18"/>
  <c r="AM119" i="18" l="1"/>
  <c r="AL118" i="18"/>
  <c r="S56" i="18"/>
  <c r="S57" i="18" s="1"/>
  <c r="S58" i="18" s="1"/>
  <c r="R172" i="18"/>
  <c r="R170" i="18"/>
  <c r="D57" i="51"/>
  <c r="AL117" i="18" l="1"/>
  <c r="AM118" i="18"/>
  <c r="S59" i="18"/>
  <c r="S60" i="18" s="1"/>
  <c r="AM117" i="18" l="1"/>
  <c r="AL116" i="18"/>
  <c r="S61" i="18"/>
  <c r="S62" i="18" s="1"/>
  <c r="N31" i="18"/>
  <c r="Q79"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3" i="18" l="1"/>
  <c r="S66" i="18"/>
  <c r="S67" i="18" s="1"/>
  <c r="AM112" i="18"/>
  <c r="AL111" i="18"/>
  <c r="D108" i="50"/>
  <c r="S68" i="18" l="1"/>
  <c r="S69" i="18" s="1"/>
  <c r="AL110" i="18"/>
  <c r="AM111" i="18"/>
  <c r="S70" i="18" l="1"/>
  <c r="S71" i="18" s="1"/>
  <c r="S72" i="18" s="1"/>
  <c r="S73" i="18" s="1"/>
  <c r="AL109" i="18"/>
  <c r="AM110" i="18"/>
  <c r="N109" i="18" l="1"/>
  <c r="AL108" i="18"/>
  <c r="AM109" i="18"/>
  <c r="N22" i="33"/>
  <c r="R22" i="33" s="1"/>
  <c r="S74" i="18" l="1"/>
  <c r="S75" i="18" s="1"/>
  <c r="S76"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1" i="18"/>
  <c r="R168" i="18"/>
  <c r="AJ433" i="18"/>
  <c r="AJ434" i="18" s="1"/>
  <c r="AM94" i="18"/>
  <c r="AL93" i="18"/>
  <c r="AL266" i="18"/>
  <c r="AM267" i="18"/>
  <c r="AL92" i="18" l="1"/>
  <c r="AM93" i="18"/>
  <c r="AL265" i="18"/>
  <c r="AM266" i="18"/>
  <c r="S89" i="18"/>
  <c r="S90"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1" i="18"/>
  <c r="S92" i="18" s="1"/>
  <c r="S93" i="18" s="1"/>
  <c r="S41" i="18" l="1"/>
  <c r="S42" i="18" s="1"/>
  <c r="AL85" i="18"/>
  <c r="AM86" i="18"/>
  <c r="S94" i="18"/>
  <c r="AL258" i="18"/>
  <c r="AM259" i="18"/>
  <c r="N25" i="33"/>
  <c r="N24" i="33"/>
  <c r="N21" i="33"/>
  <c r="N20" i="33"/>
  <c r="N19" i="33"/>
  <c r="N18" i="33"/>
  <c r="L18" i="33" s="1"/>
  <c r="N17" i="33"/>
  <c r="N9" i="33"/>
  <c r="N3" i="33"/>
  <c r="N4" i="33"/>
  <c r="S43" i="18" l="1"/>
  <c r="S44" i="18" s="1"/>
  <c r="AL84" i="18"/>
  <c r="AM85" i="18"/>
  <c r="AM258" i="18"/>
  <c r="AL257"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G306" i="20"/>
  <c r="J307" i="20"/>
  <c r="I307" i="20"/>
  <c r="K307" i="20"/>
  <c r="AL75" i="18"/>
  <c r="AM76" i="18"/>
  <c r="N107" i="18" l="1"/>
  <c r="N115" i="18" s="1"/>
  <c r="R167" i="18"/>
  <c r="R183" i="18" s="1"/>
  <c r="T365" i="18" s="1"/>
  <c r="S102" i="18"/>
  <c r="S103" i="18" s="1"/>
  <c r="AJ243" i="18"/>
  <c r="AJ244" i="18" s="1"/>
  <c r="G305" i="20"/>
  <c r="I306" i="20"/>
  <c r="K306" i="20"/>
  <c r="J306" i="20"/>
  <c r="AL74" i="18"/>
  <c r="AM75" i="18"/>
  <c r="W152" i="18" l="1"/>
  <c r="G304" i="20"/>
  <c r="I305" i="20"/>
  <c r="K305" i="20"/>
  <c r="J305" i="20"/>
  <c r="AL73" i="18"/>
  <c r="AM74" i="18"/>
  <c r="R83" i="18"/>
  <c r="V46" i="18" l="1"/>
  <c r="V142" i="18"/>
  <c r="V141" i="18"/>
  <c r="V49" i="18"/>
  <c r="V76" i="18"/>
  <c r="V50" i="18"/>
  <c r="V45" i="18"/>
  <c r="V75" i="18"/>
  <c r="W75" i="18" s="1"/>
  <c r="V44" i="18"/>
  <c r="W44" i="18" s="1"/>
  <c r="V43" i="18"/>
  <c r="X43" i="18" s="1"/>
  <c r="V74" i="18"/>
  <c r="V73" i="18"/>
  <c r="W73" i="18" s="1"/>
  <c r="V42" i="18"/>
  <c r="V41" i="18"/>
  <c r="V40" i="18"/>
  <c r="V38" i="18"/>
  <c r="V39" i="18"/>
  <c r="V37" i="18"/>
  <c r="W37" i="18" s="1"/>
  <c r="V35" i="18"/>
  <c r="V36" i="18"/>
  <c r="V72" i="18"/>
  <c r="V34" i="18"/>
  <c r="X34" i="18" s="1"/>
  <c r="V71" i="18"/>
  <c r="W71" i="18" s="1"/>
  <c r="V70" i="18"/>
  <c r="X70" i="18" s="1"/>
  <c r="V368" i="18"/>
  <c r="W155" i="18"/>
  <c r="V69" i="18"/>
  <c r="X69" i="18" s="1"/>
  <c r="V68" i="18"/>
  <c r="W68" i="18" s="1"/>
  <c r="V78" i="18"/>
  <c r="V33" i="18"/>
  <c r="U378" i="18"/>
  <c r="V378" i="18" s="1"/>
  <c r="W154" i="18"/>
  <c r="V67" i="18"/>
  <c r="W67" i="18" s="1"/>
  <c r="V87" i="18"/>
  <c r="V66" i="18"/>
  <c r="V65" i="18"/>
  <c r="V64" i="18"/>
  <c r="W64" i="18" s="1"/>
  <c r="V32" i="18"/>
  <c r="V31" i="18"/>
  <c r="V30" i="18"/>
  <c r="V29" i="18"/>
  <c r="V28" i="18"/>
  <c r="W28" i="18" s="1"/>
  <c r="V63" i="18"/>
  <c r="V62" i="18"/>
  <c r="V27" i="18"/>
  <c r="G303" i="20"/>
  <c r="K304" i="20"/>
  <c r="I304" i="20"/>
  <c r="J304" i="20"/>
  <c r="V102" i="18"/>
  <c r="V26" i="18"/>
  <c r="W26" i="18" s="1"/>
  <c r="V61" i="18"/>
  <c r="V100" i="18"/>
  <c r="W100" i="18" s="1"/>
  <c r="V101" i="18"/>
  <c r="V98" i="18"/>
  <c r="W98" i="18" s="1"/>
  <c r="V99" i="18"/>
  <c r="V97" i="18"/>
  <c r="W97" i="18" s="1"/>
  <c r="V25" i="18"/>
  <c r="V24" i="18"/>
  <c r="W24" i="18" s="1"/>
  <c r="V60" i="18"/>
  <c r="V23" i="18"/>
  <c r="X23" i="18" s="1"/>
  <c r="V59" i="18"/>
  <c r="V58" i="18"/>
  <c r="V96" i="18"/>
  <c r="V57" i="18"/>
  <c r="V95" i="18"/>
  <c r="V22" i="18"/>
  <c r="V94" i="18"/>
  <c r="V21" i="18"/>
  <c r="V93" i="18"/>
  <c r="V92" i="18"/>
  <c r="V90" i="18"/>
  <c r="V91" i="18"/>
  <c r="V20" i="18"/>
  <c r="V88" i="18"/>
  <c r="V89" i="18"/>
  <c r="AL72" i="18"/>
  <c r="AM73" i="18"/>
  <c r="W46" i="18" l="1"/>
  <c r="X46" i="18"/>
  <c r="W142" i="18"/>
  <c r="X142" i="18"/>
  <c r="W141" i="18"/>
  <c r="X141" i="18"/>
  <c r="X45" i="18"/>
  <c r="W45" i="18"/>
  <c r="W49" i="18"/>
  <c r="X49" i="18"/>
  <c r="W76" i="18"/>
  <c r="X76" i="18"/>
  <c r="X50" i="18"/>
  <c r="W50" i="18"/>
  <c r="X75" i="18"/>
  <c r="X44" i="18"/>
  <c r="W43" i="18"/>
  <c r="X74" i="18"/>
  <c r="W74" i="18"/>
  <c r="X73" i="18"/>
  <c r="W42" i="18"/>
  <c r="X42" i="18"/>
  <c r="X41" i="18"/>
  <c r="W41" i="18"/>
  <c r="W40" i="18"/>
  <c r="X40" i="18"/>
  <c r="W39" i="18"/>
  <c r="X39" i="18"/>
  <c r="W38" i="18"/>
  <c r="X38" i="18"/>
  <c r="X37" i="18"/>
  <c r="X36" i="18"/>
  <c r="W36" i="18"/>
  <c r="W35" i="18"/>
  <c r="X35" i="18"/>
  <c r="W72" i="18"/>
  <c r="X72" i="18"/>
  <c r="W34" i="18"/>
  <c r="X71" i="18"/>
  <c r="W70" i="18"/>
  <c r="W69" i="18"/>
  <c r="X68" i="18"/>
  <c r="W78" i="18"/>
  <c r="X78" i="18"/>
  <c r="W33" i="18"/>
  <c r="X33" i="18"/>
  <c r="X67" i="18"/>
  <c r="W66" i="18"/>
  <c r="X66" i="18"/>
  <c r="W65" i="18"/>
  <c r="X65" i="18"/>
  <c r="X64" i="18"/>
  <c r="W32" i="18"/>
  <c r="X32" i="18"/>
  <c r="W31" i="18"/>
  <c r="X31" i="18"/>
  <c r="X30" i="18"/>
  <c r="W30" i="18"/>
  <c r="W29" i="18"/>
  <c r="X29" i="18"/>
  <c r="X28" i="18"/>
  <c r="W63" i="18"/>
  <c r="X63" i="18"/>
  <c r="W62" i="18"/>
  <c r="X62" i="18"/>
  <c r="W27" i="18"/>
  <c r="X27" i="18"/>
  <c r="W153" i="18"/>
  <c r="G302" i="20"/>
  <c r="K303" i="20"/>
  <c r="I303" i="20"/>
  <c r="J303" i="20"/>
  <c r="W102" i="18"/>
  <c r="X102" i="18"/>
  <c r="X26" i="18"/>
  <c r="W61" i="18"/>
  <c r="X61" i="18"/>
  <c r="X100" i="18"/>
  <c r="W101" i="18"/>
  <c r="X101" i="18"/>
  <c r="X98" i="18"/>
  <c r="W99" i="18"/>
  <c r="X99" i="18"/>
  <c r="X97" i="18"/>
  <c r="W25" i="18"/>
  <c r="X25" i="18"/>
  <c r="X24" i="18"/>
  <c r="W60" i="18"/>
  <c r="X60" i="18"/>
  <c r="W23" i="18"/>
  <c r="W59" i="18"/>
  <c r="X59" i="18"/>
  <c r="W58" i="18"/>
  <c r="X58" i="18"/>
  <c r="N34" i="18"/>
  <c r="W151" i="18"/>
  <c r="W96" i="18"/>
  <c r="X96" i="18"/>
  <c r="X57" i="18"/>
  <c r="W57" i="18"/>
  <c r="W94" i="18"/>
  <c r="X94" i="18"/>
  <c r="W89" i="18"/>
  <c r="X89" i="18"/>
  <c r="W22" i="18"/>
  <c r="X22" i="18"/>
  <c r="W20" i="18"/>
  <c r="X20" i="18"/>
  <c r="W91" i="18"/>
  <c r="X91" i="18"/>
  <c r="X95" i="18"/>
  <c r="W95" i="18"/>
  <c r="W88" i="18"/>
  <c r="X88" i="18"/>
  <c r="W87" i="18"/>
  <c r="X87" i="18"/>
  <c r="W92" i="18"/>
  <c r="X92" i="18"/>
  <c r="W90" i="18"/>
  <c r="X90" i="18"/>
  <c r="W93" i="18"/>
  <c r="X93" i="18"/>
  <c r="W21" i="18"/>
  <c r="X21" i="18"/>
  <c r="AL71" i="18"/>
  <c r="AM72" i="18"/>
  <c r="I179" i="18" l="1"/>
  <c r="W161" i="18"/>
  <c r="G178" i="18"/>
  <c r="I178" i="18"/>
  <c r="G179" i="18"/>
  <c r="N62" i="18"/>
  <c r="L21" i="18"/>
  <c r="W162"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3" i="18"/>
  <c r="W103" i="18" s="1"/>
  <c r="J266" i="20"/>
  <c r="G265" i="20"/>
  <c r="K266" i="20"/>
  <c r="I266" i="20"/>
  <c r="AL34" i="18"/>
  <c r="AM35" i="18"/>
  <c r="E240" i="15"/>
  <c r="E239" i="15"/>
  <c r="X103" i="18" l="1"/>
  <c r="G29" i="14"/>
  <c r="E28" i="14"/>
  <c r="K265" i="20"/>
  <c r="G264" i="20"/>
  <c r="J265" i="20"/>
  <c r="I265" i="20"/>
  <c r="D259" i="15"/>
  <c r="F259" i="15" s="1"/>
  <c r="AL33" i="18"/>
  <c r="AM34" i="18"/>
  <c r="E27" i="14" l="1"/>
  <c r="G28" i="14"/>
  <c r="G263" i="20"/>
  <c r="K264" i="20"/>
  <c r="J264" i="20"/>
  <c r="I264" i="20"/>
  <c r="D258" i="15"/>
  <c r="F258" i="15" s="1"/>
  <c r="AL32" i="18"/>
  <c r="AM33" i="18"/>
  <c r="S105" i="18" l="1"/>
  <c r="S106" i="18" s="1"/>
  <c r="S107" i="18" s="1"/>
  <c r="S108" i="18" s="1"/>
  <c r="E26" i="14"/>
  <c r="G27" i="14"/>
  <c r="I263" i="20"/>
  <c r="K263" i="20"/>
  <c r="G262" i="20"/>
  <c r="J263" i="20"/>
  <c r="D257" i="15"/>
  <c r="F257" i="15" s="1"/>
  <c r="AL31" i="18"/>
  <c r="AM32" i="18"/>
  <c r="K61" i="32"/>
  <c r="U61" i="32" s="1"/>
  <c r="K60" i="32"/>
  <c r="U60" i="32" s="1"/>
  <c r="K49" i="32"/>
  <c r="U49" i="32" s="1"/>
  <c r="K48" i="32"/>
  <c r="U48" i="32" s="1"/>
  <c r="K46" i="32"/>
  <c r="I60" i="32"/>
  <c r="I48" i="32"/>
  <c r="S70" i="32"/>
  <c r="V104" i="18" l="1"/>
  <c r="X104" i="18" s="1"/>
  <c r="E25" i="14"/>
  <c r="G26" i="14"/>
  <c r="G261" i="20"/>
  <c r="I262" i="20"/>
  <c r="J262" i="20"/>
  <c r="K262" i="20"/>
  <c r="D256" i="15"/>
  <c r="F256" i="15" s="1"/>
  <c r="AL30" i="18"/>
  <c r="AM31" i="18"/>
  <c r="L60" i="32"/>
  <c r="L48" i="32"/>
  <c r="W104"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5" i="18" l="1"/>
  <c r="W10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5"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6" i="18" l="1"/>
  <c r="X106" i="18" s="1"/>
  <c r="G254" i="20"/>
  <c r="J255" i="20"/>
  <c r="I255" i="20"/>
  <c r="K255" i="20"/>
  <c r="D249" i="15"/>
  <c r="F249" i="15" s="1"/>
  <c r="AM24" i="18"/>
  <c r="AL23" i="18"/>
  <c r="E177" i="13"/>
  <c r="G178" i="13"/>
  <c r="W106"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7" i="18" l="1"/>
  <c r="W107"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S128"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8" i="18" l="1"/>
  <c r="X128" i="18" s="1"/>
  <c r="S129" i="18"/>
  <c r="S130" i="18" s="1"/>
  <c r="S131" i="18" s="1"/>
  <c r="S132" i="18" s="1"/>
  <c r="S133" i="18" s="1"/>
  <c r="S134" i="18" s="1"/>
  <c r="G120" i="20"/>
  <c r="J121" i="20"/>
  <c r="K121" i="20"/>
  <c r="I121" i="20"/>
  <c r="E40" i="13"/>
  <c r="G41" i="13"/>
  <c r="C13" i="18"/>
  <c r="L16" i="18"/>
  <c r="W128" i="18" l="1"/>
  <c r="V129" i="18"/>
  <c r="W129" i="18" s="1"/>
  <c r="G119" i="20"/>
  <c r="K120" i="20"/>
  <c r="J120" i="20"/>
  <c r="I120" i="20"/>
  <c r="E39" i="13"/>
  <c r="G40" i="13"/>
  <c r="C14" i="18"/>
  <c r="X129" i="18" l="1"/>
  <c r="G118" i="20"/>
  <c r="J119" i="20"/>
  <c r="I119" i="20"/>
  <c r="K119" i="20"/>
  <c r="E38" i="13"/>
  <c r="G39" i="13"/>
  <c r="F113" i="15"/>
  <c r="V130" i="18" l="1"/>
  <c r="W130" i="18" s="1"/>
  <c r="G117" i="20"/>
  <c r="K118" i="20"/>
  <c r="J118" i="20"/>
  <c r="I118" i="20"/>
  <c r="E37" i="13"/>
  <c r="G38" i="13"/>
  <c r="F112" i="15"/>
  <c r="X130"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2" i="18" l="1"/>
  <c r="W132" i="18" s="1"/>
  <c r="W131" i="18"/>
  <c r="X131" i="18"/>
  <c r="G110" i="20"/>
  <c r="I111" i="20"/>
  <c r="J111" i="20"/>
  <c r="K111" i="20"/>
  <c r="E30" i="13"/>
  <c r="G31" i="13"/>
  <c r="F105" i="15"/>
  <c r="E4" i="18"/>
  <c r="C23" i="18"/>
  <c r="E16" i="14"/>
  <c r="G17" i="14"/>
  <c r="D65" i="9"/>
  <c r="X132"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3"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3" i="18" l="1"/>
  <c r="X133"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5"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5" i="18" l="1"/>
  <c r="X135" i="18" s="1"/>
  <c r="S136" i="18"/>
  <c r="W135" i="18"/>
  <c r="V134" i="18"/>
  <c r="G103" i="20"/>
  <c r="K104" i="20"/>
  <c r="J104" i="20"/>
  <c r="I104" i="20"/>
  <c r="E11" i="18"/>
  <c r="G10" i="18"/>
  <c r="E23" i="13"/>
  <c r="G24" i="13"/>
  <c r="F98" i="15"/>
  <c r="C30" i="18"/>
  <c r="G10" i="14"/>
  <c r="E9" i="14"/>
  <c r="G13" i="6"/>
  <c r="H16" i="6"/>
  <c r="G16" i="6"/>
  <c r="V136" i="18" l="1"/>
  <c r="S137" i="18"/>
  <c r="S138" i="18" s="1"/>
  <c r="W136" i="18"/>
  <c r="X136" i="18"/>
  <c r="W134" i="18"/>
  <c r="X13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<sst xmlns="http://schemas.openxmlformats.org/spreadsheetml/2006/main" count="13929" uniqueCount="5696">
  <si>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</si>
  <si>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</si>
  <si>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</si>
  <si>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</si>
  <si>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</si>
  <si>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</si>
  <si>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</si>
  <si>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</si>
  <si>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</si>
  <si>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</si>
  <si>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</si>
  <si>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</si>
  <si>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</si>
  <si>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</si>
  <si>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</si>
  <si>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</si>
  <si>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</si>
  <si>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</si>
  <si>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</si>
  <si>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</si>
  <si>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</si>
  <si>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</si>
  <si>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</si>
  <si>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</si>
  <si>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</si>
  <si>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</si>
  <si>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</si>
  <si>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</si>
  <si>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</si>
  <si>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</si>
  <si>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</si>
  <si>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</si>
  <si>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</si>
  <si>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</si>
  <si>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</si>
  <si>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</si>
  <si>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</si>
  <si>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</si>
  <si>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</si>
  <si>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</si>
  <si>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</si>
  <si>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</si>
  <si>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</si>
  <si>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</si>
  <si>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</si>
  <si>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</si>
  <si>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</si>
  <si>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</si>
  <si>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</si>
  <si>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</si>
  <si>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</si>
  <si>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</si>
  <si>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</si>
  <si>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</si>
  <si>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</si>
  <si>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</si>
  <si>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</si>
  <si>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</si>
  <si>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</si>
  <si>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</si>
  <si>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</si>
  <si>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</si>
  <si>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</si>
  <si>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</si>
  <si>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</si>
  <si>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</si>
  <si>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</si>
  <si>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</si>
  <si>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</si>
  <si>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</si>
  <si>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</si>
  <si>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</si>
  <si>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</si>
  <si>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</si>
  <si>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</si>
  <si>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</si>
  <si>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</si>
  <si>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</si>
  <si>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</si>
  <si>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</si>
  <si>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</si>
  <si>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</si>
  <si>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</si>
  <si>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</si>
  <si>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</si>
  <si>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</si>
  <si>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</si>
  <si>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</si>
  <si>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</si>
  <si>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</si>
  <si>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</si>
  <si>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</si>
  <si>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</si>
  <si>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</si>
  <si>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</si>
  <si>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</si>
  <si>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</si>
  <si>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</si>
  <si>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</si>
  <si>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</si>
  <si>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</si>
  <si>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</si>
  <si>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</si>
  <si>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</si>
  <si>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</si>
  <si>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</si>
  <si>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</si>
  <si>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</si>
  <si>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</si>
  <si>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</si>
  <si>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</si>
  <si>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</si>
  <si>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</si>
  <si>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</si>
  <si>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</si>
  <si>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</si>
  <si>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</si>
  <si>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</si>
  <si>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</si>
  <si>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</si>
  <si>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</si>
  <si>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</si>
  <si>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</si>
  <si>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</si>
  <si>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</si>
  <si>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</si>
  <si>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</si>
  <si>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</si>
  <si>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</si>
  <si>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</si>
  <si>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</si>
  <si>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</si>
  <si>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</si>
  <si>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</si>
  <si>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</si>
  <si>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</si>
  <si>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</si>
  <si>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</si>
  <si>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</si>
  <si>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</si>
  <si>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</si>
  <si>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</si>
  <si>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</si>
  <si>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</si>
  <si>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</si>
  <si>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</si>
  <si>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</si>
  <si>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</si>
  <si>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</si>
  <si>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</si>
  <si>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</si>
  <si>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</si>
  <si>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</si>
  <si>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</si>
  <si>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</si>
  <si>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</si>
  <si>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</si>
  <si>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</si>
  <si>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</si>
  <si>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</si>
  <si>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</si>
  <si>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</si>
  <si>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</si>
  <si>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</si>
  <si>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</si>
  <si>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</si>
  <si>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</si>
  <si>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</si>
  <si>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</si>
  <si>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</si>
  <si>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</si>
  <si>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</si>
  <si>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</si>
  <si>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</si>
  <si>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</si>
  <si>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</si>
  <si>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</si>
  <si>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</si>
  <si>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</si>
  <si>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</si>
  <si>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</si>
  <si>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</si>
  <si>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</si>
  <si>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</si>
  <si>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</si>
  <si>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</si>
  <si>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</si>
  <si>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</si>
  <si>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</si>
  <si>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</si>
  <si>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</si>
  <si>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</si>
  <si>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</si>
  <si>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</si>
  <si>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</si>
  <si>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</si>
  <si>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</si>
  <si>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</si>
  <si>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</si>
  <si>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</si>
  <si>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</si>
  <si>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</si>
  <si>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</si>
  <si>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</si>
  <si>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</si>
  <si>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</si>
  <si>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</si>
  <si>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</si>
  <si>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</si>
  <si>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</si>
  <si>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</si>
  <si>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</si>
  <si>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</si>
  <si>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</si>
  <si>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</si>
  <si>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</si>
  <si>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</si>
  <si>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</si>
  <si>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</si>
  <si>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</si>
  <si>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</si>
  <si>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</si>
  <si>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</si>
  <si>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</si>
  <si>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</si>
  <si>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</si>
  <si>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</si>
  <si>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</si>
  <si>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</si>
  <si>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</si>
  <si>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</si>
  <si>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</si>
  <si>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</si>
  <si>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</si>
  <si>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</si>
  <si>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</si>
  <si>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</si>
  <si>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</si>
  <si>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</si>
  <si>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</si>
  <si>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</si>
  <si>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</si>
  <si>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</si>
  <si>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</si>
  <si>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</si>
  <si>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</si>
  <si>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</si>
  <si>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</si>
  <si>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</si>
  <si>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</si>
  <si>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</si>
  <si>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</si>
  <si>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</si>
  <si>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</si>
  <si>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</si>
  <si>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</si>
  <si>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</si>
  <si>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</si>
  <si>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</si>
  <si>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</si>
  <si>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</si>
  <si>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</si>
  <si>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</si>
  <si>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</si>
  <si>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</si>
  <si>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</si>
  <si>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</si>
  <si>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</si>
  <si>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</si>
  <si>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</si>
  <si>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</si>
  <si>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</si>
  <si>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</si>
  <si>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</si>
  <si>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</si>
  <si>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</si>
  <si>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</si>
  <si>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</si>
  <si>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</si>
  <si>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</si>
  <si>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</si>
  <si>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</si>
  <si>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</si>
  <si>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</si>
  <si>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</si>
  <si>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</si>
  <si>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</si>
  <si>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</si>
  <si>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</si>
  <si>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</si>
  <si>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</si>
  <si>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</si>
  <si>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</si>
  <si>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</si>
  <si>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</si>
  <si>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</si>
  <si>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</si>
  <si>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</si>
  <si>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</si>
  <si>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</si>
  <si>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</si>
  <si>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</si>
  <si>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</si>
  <si>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</si>
  <si>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</si>
  <si>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</si>
  <si>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</si>
  <si>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</si>
  <si>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</si>
  <si>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</si>
  <si>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</si>
  <si>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</si>
  <si>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</si>
  <si>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</si>
  <si>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</si>
  <si>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</si>
  <si>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</si>
  <si>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</si>
  <si>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</si>
  <si>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</si>
  <si>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</si>
  <si>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</si>
  <si>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</si>
  <si>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</si>
  <si>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</si>
  <si>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</si>
  <si>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</si>
  <si>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</si>
  <si>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</si>
  <si>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</si>
  <si>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</si>
  <si>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</si>
  <si>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</si>
  <si>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</si>
  <si>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</si>
  <si>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</si>
  <si>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</si>
  <si>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</si>
  <si>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</si>
  <si>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</si>
  <si>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</si>
  <si>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</si>
  <si>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</si>
  <si>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</si>
  <si>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</si>
  <si>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</si>
  <si>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</si>
  <si>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</si>
  <si>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</si>
  <si>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</si>
  <si>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</si>
  <si>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</si>
  <si>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</si>
  <si>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</si>
  <si>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</si>
  <si>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</si>
  <si>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</si>
  <si>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</si>
  <si>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</si>
  <si>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</si>
  <si>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</si>
  <si>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</si>
  <si>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</si>
  <si>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</si>
  <si>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</si>
  <si>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</si>
  <si>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</si>
  <si>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</si>
  <si>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</si>
  <si>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</si>
  <si>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</si>
  <si>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</si>
  <si>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</si>
  <si>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</si>
  <si>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</si>
  <si>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</si>
  <si>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</si>
  <si>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</si>
  <si>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</si>
  <si>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</si>
  <si>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</si>
  <si>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</si>
  <si>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</si>
  <si>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</si>
  <si>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</si>
  <si>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</si>
  <si>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</si>
  <si>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</si>
  <si>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</si>
  <si>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</si>
  <si>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</si>
  <si>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</si>
  <si>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</si>
  <si>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</si>
  <si>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</si>
  <si>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</si>
  <si>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</si>
  <si>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</si>
  <si>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</si>
  <si>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</si>
  <si>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</si>
  <si>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</si>
  <si>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</si>
  <si>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</si>
  <si>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</si>
  <si>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</si>
  <si>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</si>
  <si>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</si>
  <si>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</si>
  <si>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</si>
  <si>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</si>
  <si>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</si>
  <si>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</si>
  <si>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</si>
  <si>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</si>
  <si>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</si>
  <si>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</si>
  <si>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</si>
  <si>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</si>
  <si>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</si>
  <si>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</si>
  <si>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</si>
  <si>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</si>
  <si>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</si>
  <si>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</si>
  <si>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</si>
  <si>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</si>
  <si>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</si>
  <si>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</si>
  <si>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</si>
  <si>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</si>
  <si>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</si>
  <si>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</si>
  <si>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</si>
  <si>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</si>
  <si>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</si>
  <si>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</si>
  <si>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</si>
  <si>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</si>
  <si>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</si>
  <si>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</si>
  <si>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</si>
  <si>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</si>
  <si>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</si>
  <si>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</si>
  <si>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</si>
  <si>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</si>
  <si>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</si>
  <si>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</si>
  <si>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</si>
  <si>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</si>
  <si>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</si>
  <si>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</si>
  <si>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</si>
  <si>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</si>
  <si>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</si>
  <si>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</si>
  <si>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</si>
  <si>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</si>
  <si>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</si>
  <si>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</si>
  <si>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</si>
  <si>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</si>
  <si>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</si>
  <si>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</si>
  <si>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</si>
  <si>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</si>
  <si>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</si>
  <si>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</si>
  <si>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</si>
  <si>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</si>
  <si>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</si>
  <si>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</si>
  <si>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</si>
  <si>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</si>
  <si>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</si>
  <si>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</si>
  <si>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</si>
  <si>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</si>
  <si>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</si>
  <si>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</si>
  <si>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</si>
  <si>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</si>
  <si>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</si>
  <si>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</si>
  <si>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</si>
  <si>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</si>
  <si>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</si>
  <si>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</si>
  <si>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</si>
  <si>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</si>
  <si>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</si>
  <si>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</si>
  <si>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</si>
  <si>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</si>
  <si>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</si>
  <si>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</si>
  <si>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</si>
  <si>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</si>
  <si>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</si>
  <si>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</si>
  <si>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</si>
  <si>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</si>
  <si>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</si>
  <si>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</si>
  <si>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</si>
  <si>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</si>
  <si>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</si>
  <si>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</si>
  <si>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</si>
  <si>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</si>
  <si>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</si>
  <si>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</si>
  <si>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</si>
  <si>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</si>
  <si>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</si>
  <si>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</si>
  <si>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</si>
  <si>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</si>
  <si>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</si>
  <si>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</si>
  <si>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</si>
  <si>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</si>
  <si>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</si>
  <si>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</si>
  <si>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</si>
  <si>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</si>
  <si>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</si>
  <si>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</si>
  <si>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</si>
  <si>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</si>
  <si>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</si>
  <si>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</si>
  <si>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</si>
  <si>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</si>
  <si>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</si>
  <si>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</si>
  <si>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</si>
  <si>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</si>
  <si>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</si>
  <si>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</si>
  <si>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</si>
  <si>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</si>
  <si>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</si>
  <si>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</si>
  <si>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</si>
  <si>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</si>
  <si>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</si>
  <si>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</si>
  <si>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</si>
  <si>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</si>
  <si>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</si>
  <si>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</si>
  <si>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</si>
  <si>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</si>
  <si>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</si>
  <si>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</si>
  <si>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</si>
  <si>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</si>
  <si>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</si>
  <si>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</si>
  <si>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</si>
  <si>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</si>
  <si>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</si>
  <si>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</si>
  <si>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</si>
  <si>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</si>
  <si>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</si>
  <si>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</si>
  <si>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</si>
  <si>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</si>
  <si>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</si>
  <si>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</si>
  <si>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</si>
  <si>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</si>
  <si>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</si>
  <si>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</si>
  <si>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</si>
  <si>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</si>
  <si>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</si>
  <si>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</si>
  <si>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</si>
  <si>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</si>
  <si>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</si>
  <si>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</si>
  <si>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</si>
  <si>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</si>
  <si>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</si>
  <si>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</si>
  <si>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</si>
  <si>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</si>
  <si>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</si>
  <si>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</si>
  <si>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</si>
  <si>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</si>
  <si>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</si>
  <si>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</si>
  <si>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</si>
  <si>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</si>
  <si>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</si>
  <si>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</si>
  <si>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</si>
  <si>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</si>
  <si>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</si>
  <si>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</si>
  <si>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</si>
  <si>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</si>
  <si>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</si>
  <si>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</si>
  <si>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</si>
  <si>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</si>
  <si>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</si>
  <si>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</si>
  <si>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</si>
  <si>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</si>
  <si>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</si>
  <si>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</si>
  <si>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</si>
  <si>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</si>
  <si>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</si>
  <si>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</si>
  <si>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</si>
  <si>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</si>
  <si>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</si>
  <si>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</si>
  <si>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</si>
  <si>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</si>
  <si>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</si>
  <si>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</si>
  <si>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</si>
  <si>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</si>
  <si>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</si>
  <si>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</si>
  <si>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</si>
  <si>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</si>
  <si>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</si>
  <si>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</si>
  <si>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</si>
  <si>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</si>
  <si>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</si>
  <si>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</si>
  <si>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</si>
  <si>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</si>
  <si>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</si>
  <si>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</si>
  <si>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</si>
  <si>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</si>
  <si>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</si>
  <si>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</si>
  <si>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</si>
  <si>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</si>
  <si>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</si>
  <si>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</si>
  <si>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</si>
  <si>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</si>
  <si>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</si>
  <si>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</si>
  <si>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</si>
  <si>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</si>
  <si>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</si>
  <si>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</si>
  <si>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</si>
  <si>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</si>
  <si>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</si>
  <si>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</si>
  <si>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</si>
  <si>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</si>
  <si>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</si>
  <si>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</si>
  <si>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</si>
  <si>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</si>
  <si>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</si>
  <si>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</si>
  <si>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</si>
  <si>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</si>
  <si>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</si>
  <si>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</si>
  <si>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</si>
  <si>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</si>
  <si>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</si>
  <si>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</si>
  <si>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</si>
  <si>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</si>
  <si>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</si>
  <si>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</si>
  <si>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</si>
  <si>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</si>
  <si>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</si>
  <si>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</si>
  <si>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</si>
  <si>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</si>
  <si>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</si>
  <si>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</si>
  <si>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</si>
  <si>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</si>
  <si>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</si>
  <si>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</si>
  <si>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</si>
  <si>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</si>
  <si>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</si>
  <si>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</si>
  <si>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</si>
  <si>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</si>
  <si>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</si>
  <si>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</si>
  <si>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</si>
  <si>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</si>
  <si>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</si>
  <si>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</si>
  <si>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</si>
  <si>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</si>
  <si>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</si>
  <si>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</si>
  <si>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</si>
  <si>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</si>
  <si>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</si>
  <si>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</si>
  <si>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</si>
  <si>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</si>
  <si>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</si>
  <si>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</si>
  <si>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</si>
  <si>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</si>
  <si>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</si>
  <si>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</si>
  <si>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</si>
  <si>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</si>
  <si>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</si>
  <si>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</si>
  <si>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</si>
  <si>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</si>
  <si>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</si>
  <si>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</si>
  <si>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</si>
  <si>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</si>
  <si>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</si>
  <si>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</si>
  <si>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</si>
  <si>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</si>
  <si>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</si>
  <si>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</si>
  <si>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</si>
  <si>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</si>
  <si>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</si>
  <si>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</si>
  <si>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</si>
  <si>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</si>
  <si>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</si>
  <si>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</si>
  <si>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</si>
  <si>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</si>
  <si>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</si>
  <si>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</si>
  <si>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</si>
  <si>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</si>
  <si>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</si>
  <si>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</si>
  <si>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</si>
  <si>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</si>
  <si>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</si>
  <si>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</si>
  <si>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</si>
  <si>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</si>
  <si>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</si>
  <si>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</si>
  <si>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</si>
  <si>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</si>
  <si>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</si>
  <si>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</si>
  <si>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</si>
  <si>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</si>
  <si>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</si>
  <si>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</si>
  <si>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</si>
  <si>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</si>
  <si>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</si>
  <si>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</si>
  <si>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</si>
  <si>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</si>
  <si>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</si>
  <si>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</si>
  <si>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</si>
  <si>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</si>
  <si>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</si>
  <si>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</si>
  <si>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</si>
  <si>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</si>
  <si>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</si>
  <si>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</si>
  <si>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</si>
  <si>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</si>
  <si>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</si>
  <si>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</si>
  <si>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</si>
  <si>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</si>
  <si>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</si>
  <si>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</si>
  <si>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</si>
  <si>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</si>
  <si>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</si>
  <si>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</si>
  <si>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</si>
  <si>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</si>
  <si>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</si>
  <si>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</si>
  <si>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</si>
  <si>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</si>
  <si>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</si>
  <si>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</si>
  <si>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</si>
  <si>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</si>
  <si>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</si>
  <si>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</si>
  <si>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</si>
  <si>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</si>
  <si>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</si>
  <si>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</si>
  <si>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</si>
  <si>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</si>
  <si>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</si>
  <si>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</si>
  <si>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</si>
  <si>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</si>
  <si>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</si>
  <si>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</si>
  <si>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</si>
  <si>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</si>
  <si>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</si>
  <si>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</si>
  <si>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</si>
  <si>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</si>
  <si>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</si>
  <si>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</si>
  <si>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</si>
  <si>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</si>
  <si>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</si>
  <si>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</si>
  <si>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</si>
  <si>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</si>
  <si>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</si>
  <si>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</si>
  <si>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</si>
  <si>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</si>
  <si>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</si>
  <si>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</si>
  <si>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</si>
  <si>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</si>
  <si>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</si>
  <si>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</si>
  <si>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</si>
  <si>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</si>
  <si>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</si>
  <si>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</si>
  <si>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</si>
  <si>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</si>
  <si>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</si>
  <si>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</si>
  <si>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</si>
  <si>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</si>
  <si>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</si>
  <si>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</si>
  <si>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</si>
  <si>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</si>
  <si>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</si>
  <si>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</si>
  <si>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</si>
  <si>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</si>
  <si>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</si>
  <si>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</si>
  <si>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</si>
  <si>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</si>
  <si>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</si>
  <si>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</si>
  <si>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</si>
  <si>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</si>
  <si>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</si>
  <si>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</si>
  <si>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</si>
  <si>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</si>
  <si>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</si>
  <si>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</si>
  <si>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</si>
  <si>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</si>
  <si>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</si>
  <si>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</si>
  <si>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</si>
  <si>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</si>
  <si>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</si>
  <si>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</si>
  <si>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</si>
  <si>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</si>
  <si>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</si>
  <si>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</si>
  <si>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</si>
  <si>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</si>
  <si>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</si>
  <si>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</si>
  <si>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</si>
  <si>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</si>
  <si>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</si>
  <si>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</si>
  <si>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</si>
  <si>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</si>
  <si>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</si>
  <si>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</si>
  <si>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</si>
  <si>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</si>
  <si>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</si>
  <si>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</si>
  <si>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</si>
  <si>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</si>
  <si>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</si>
  <si>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</si>
  <si>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</si>
  <si>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</si>
  <si>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</si>
  <si>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</si>
  <si>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</si>
  <si>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</si>
  <si>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</si>
  <si>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</si>
  <si>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</si>
  <si>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</si>
  <si>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</si>
  <si>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</si>
  <si>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</si>
  <si>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</si>
  <si>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</si>
  <si>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</si>
  <si>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</si>
  <si>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</si>
  <si>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</si>
  <si>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</si>
  <si>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</si>
  <si>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</si>
  <si>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</si>
  <si>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</si>
  <si>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</si>
  <si>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</si>
  <si>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</si>
  <si>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</si>
  <si>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</si>
  <si>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</si>
  <si>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</si>
  <si>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</si>
  <si>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</si>
  <si>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</si>
  <si>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</si>
  <si>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</si>
  <si>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</si>
  <si>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</si>
  <si>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</si>
  <si>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</si>
  <si>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</si>
  <si>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</si>
  <si>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</si>
  <si>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</si>
  <si>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</si>
  <si>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</si>
  <si>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</si>
  <si>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</si>
  <si>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</si>
  <si>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</si>
  <si>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</si>
  <si>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</si>
  <si>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</si>
  <si>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</si>
  <si>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</si>
  <si>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</si>
  <si>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</si>
  <si>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</si>
  <si>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</si>
  <si>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</si>
  <si>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</si>
  <si>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</si>
  <si>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</si>
  <si>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</si>
  <si>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</si>
  <si>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</si>
  <si>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</si>
  <si>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</si>
  <si>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</si>
  <si>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</si>
  <si>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</si>
  <si>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</si>
  <si>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</si>
  <si>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</si>
  <si>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</si>
  <si>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</si>
  <si>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</si>
  <si>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</si>
  <si>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</si>
  <si>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</si>
  <si>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</si>
  <si>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</si>
  <si>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</si>
  <si>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</si>
  <si>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</si>
  <si>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</si>
  <si>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</si>
  <si>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</si>
  <si>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</si>
  <si>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</si>
  <si>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</si>
  <si>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</si>
  <si>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</si>
  <si>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</si>
  <si>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</si>
  <si>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</si>
  <si>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</si>
  <si>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</si>
  <si>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</si>
  <si>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</si>
  <si>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</si>
  <si>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</si>
  <si>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</si>
  <si>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</si>
  <si>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</si>
  <si>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</si>
  <si>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</si>
  <si>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</si>
  <si>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</si>
  <si>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</si>
  <si>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</si>
  <si>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</si>
  <si>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</si>
  <si>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</si>
  <si>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</si>
  <si>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</si>
  <si>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</si>
  <si>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</si>
  <si>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</si>
  <si>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</si>
  <si>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</si>
  <si>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</si>
  <si>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</si>
  <si>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</si>
  <si>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</si>
  <si>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</si>
  <si>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</si>
  <si>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</si>
  <si>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</si>
  <si>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</si>
  <si>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</si>
  <si>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</si>
  <si>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</si>
  <si>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</si>
  <si>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</si>
  <si>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</si>
  <si>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</si>
  <si>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</si>
  <si>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</si>
  <si>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</si>
  <si>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</si>
  <si>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</si>
  <si>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</si>
  <si>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</si>
  <si>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</si>
  <si>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</si>
  <si>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</si>
  <si>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</si>
  <si>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</si>
  <si>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</si>
  <si>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</si>
  <si>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</si>
  <si>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</si>
  <si>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</si>
  <si>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</si>
  <si>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</si>
  <si>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</si>
  <si>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</si>
  <si>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</si>
  <si>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</si>
  <si>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</si>
  <si>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</si>
  <si>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</si>
  <si>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</si>
  <si>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</si>
  <si>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</si>
  <si>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</si>
  <si>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</si>
  <si>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</si>
  <si>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</si>
  <si>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</si>
  <si>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</si>
  <si>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</si>
  <si>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</si>
  <si>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</si>
  <si>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</si>
  <si>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</si>
  <si>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</si>
  <si>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</si>
  <si>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</si>
  <si>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</si>
  <si>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</si>
  <si>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</si>
  <si>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</si>
  <si>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</si>
  <si>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</si>
  <si>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</si>
  <si>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</si>
  <si>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</si>
  <si>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</si>
  <si>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</si>
  <si>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</si>
  <si>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</si>
  <si>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</si>
  <si>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</si>
  <si>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</si>
  <si>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</si>
  <si>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</si>
  <si>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</si>
  <si>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</si>
  <si>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</si>
  <si>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</si>
  <si>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</si>
  <si>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</si>
  <si>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</si>
  <si>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</si>
  <si>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</si>
  <si>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</si>
  <si>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</si>
  <si>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</si>
  <si>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</si>
  <si>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</si>
  <si>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</si>
  <si>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</si>
  <si>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</si>
  <si>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</si>
  <si>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</si>
  <si>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</si>
  <si>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</si>
  <si>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</si>
  <si>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</si>
  <si>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</si>
  <si>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</si>
  <si>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</si>
  <si>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</si>
  <si>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</si>
  <si>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</si>
  <si>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</si>
  <si>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</si>
  <si>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</si>
  <si>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</si>
  <si>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</si>
  <si>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</si>
  <si>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</si>
  <si>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</si>
  <si>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</si>
  <si>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</si>
  <si>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</si>
  <si>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</si>
  <si>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</si>
  <si>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</si>
  <si>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</si>
  <si>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</si>
  <si>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</si>
  <si>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</si>
  <si>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</si>
  <si>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</si>
  <si>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</si>
  <si>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</si>
  <si>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</si>
  <si>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</si>
  <si>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</si>
  <si>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</si>
  <si>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</si>
  <si>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</si>
  <si>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</si>
  <si>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</si>
  <si>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</si>
  <si>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</si>
  <si>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</si>
  <si>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</si>
  <si>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</si>
  <si>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</si>
  <si>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</si>
  <si>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</si>
  <si>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</si>
  <si>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</si>
  <si>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</si>
  <si>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</si>
  <si>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</si>
  <si>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</si>
  <si>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</si>
  <si>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</si>
  <si>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</si>
  <si>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</si>
  <si>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</si>
  <si>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</si>
  <si>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</si>
  <si>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</si>
  <si>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</si>
  <si>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</si>
  <si>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</si>
  <si>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</si>
  <si>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</si>
  <si>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</si>
  <si>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</si>
  <si>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</si>
  <si>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</si>
  <si>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</si>
  <si>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</si>
  <si>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</si>
  <si>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</si>
  <si>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</si>
  <si>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</si>
  <si>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</si>
  <si>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</si>
  <si>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</si>
  <si>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</si>
  <si>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</si>
  <si>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</si>
  <si>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</si>
  <si>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</si>
  <si>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</si>
  <si>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</si>
  <si>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</si>
  <si>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</si>
  <si>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</si>
  <si>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</si>
  <si>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</si>
  <si>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</si>
  <si>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</si>
  <si>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</si>
  <si>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</si>
  <si>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</si>
  <si>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</si>
  <si>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</si>
  <si>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</si>
  <si>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</si>
  <si>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</si>
  <si>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</si>
  <si>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</si>
  <si>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</si>
  <si>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</si>
  <si>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</si>
  <si>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</si>
  <si>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</si>
  <si>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</si>
  <si>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</si>
  <si>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</si>
  <si>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</si>
  <si>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</si>
  <si>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</si>
  <si>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</si>
  <si>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</si>
  <si>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</si>
  <si>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</si>
  <si>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</si>
  <si>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</si>
  <si>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</si>
  <si>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</si>
  <si>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</si>
  <si>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</si>
  <si>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</si>
  <si>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</si>
  <si>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</si>
  <si>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</si>
  <si>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</si>
  <si>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</si>
  <si>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</si>
  <si>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</si>
  <si>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</si>
  <si>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</si>
  <si>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</si>
  <si>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</si>
  <si>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</si>
  <si>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</si>
  <si>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</si>
  <si>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</si>
  <si>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</si>
  <si>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</si>
  <si>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</si>
  <si>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</si>
  <si>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</si>
  <si>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</si>
  <si>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</si>
  <si>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</si>
  <si>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</si>
  <si>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</si>
  <si>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</si>
  <si>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</si>
  <si>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</si>
  <si>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</si>
  <si>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</si>
  <si>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</si>
  <si>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</si>
  <si>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</si>
  <si>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</si>
  <si>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</si>
  <si>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</si>
  <si>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</si>
  <si>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</si>
  <si>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</si>
  <si>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</si>
  <si>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</si>
  <si>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</si>
  <si>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</si>
  <si>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</si>
  <si>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</si>
  <si>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</si>
  <si>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</si>
  <si>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</si>
  <si>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</si>
  <si>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</si>
  <si>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</si>
  <si>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</si>
  <si>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</si>
  <si>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</si>
  <si>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</si>
  <si>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</si>
  <si>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</si>
  <si>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</si>
  <si>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</si>
  <si>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</si>
  <si>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</si>
  <si>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</si>
  <si>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</si>
  <si>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</si>
  <si>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</si>
  <si>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</si>
  <si>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</si>
  <si>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</si>
  <si>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</si>
  <si>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</si>
  <si>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</si>
  <si>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</si>
  <si>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</si>
  <si>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</si>
  <si>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</si>
  <si>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</si>
  <si>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</si>
  <si>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</si>
  <si>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</si>
  <si>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</si>
  <si>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</si>
  <si>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</si>
  <si>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</si>
  <si>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</si>
  <si>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</si>
  <si>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</si>
  <si>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</si>
  <si>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</si>
  <si>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</si>
  <si>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</si>
  <si>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</si>
  <si>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</si>
  <si>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</si>
  <si>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</si>
  <si>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</si>
  <si>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</si>
  <si>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</si>
  <si>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</si>
  <si>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</si>
  <si>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</si>
  <si>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</si>
  <si>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</si>
  <si>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</si>
  <si>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</si>
  <si>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</si>
  <si>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</si>
  <si>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</si>
  <si>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</si>
  <si>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</si>
  <si>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</si>
  <si>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</si>
  <si>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</si>
  <si>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</si>
  <si>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</si>
  <si>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</si>
  <si>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</si>
  <si>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</si>
  <si>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</si>
  <si>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</si>
  <si>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</si>
  <si>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</si>
  <si>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</si>
  <si>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</si>
  <si>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</si>
  <si>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</si>
  <si>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</si>
  <si>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</si>
  <si>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</si>
  <si>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</si>
  <si>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</si>
  <si>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</si>
  <si>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</si>
  <si>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</si>
  <si>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</si>
  <si>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</si>
  <si>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</si>
  <si>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</si>
  <si>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</si>
  <si>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</si>
  <si>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</si>
  <si>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</si>
  <si>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</si>
  <si>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</si>
  <si>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</si>
  <si>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</si>
  <si>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</si>
  <si>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</si>
  <si>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</si>
  <si>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</si>
  <si>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</si>
  <si>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</si>
  <si>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</si>
  <si>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</si>
  <si>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</si>
  <si>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</si>
  <si>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</si>
  <si>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</si>
  <si>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</si>
  <si>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</si>
  <si>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</si>
  <si>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</si>
  <si>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</si>
  <si>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</si>
  <si>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</si>
  <si>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</si>
  <si>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</si>
  <si>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</si>
  <si>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</si>
  <si>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</si>
  <si>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</si>
  <si>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</si>
  <si>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</si>
  <si>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</si>
  <si>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</si>
  <si>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</si>
  <si>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</si>
  <si>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</si>
  <si>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</si>
  <si>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</si>
  <si>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</si>
  <si>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</si>
  <si>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</si>
  <si>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</si>
  <si>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</si>
  <si>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</si>
  <si>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</si>
  <si>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</si>
  <si>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</si>
  <si>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</si>
  <si>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</si>
  <si>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</si>
  <si>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</si>
  <si>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</si>
  <si>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</si>
  <si>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</si>
  <si>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</si>
  <si>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</si>
  <si>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</si>
  <si>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</si>
  <si>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</si>
  <si>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</si>
  <si>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</si>
  <si>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</si>
  <si>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</si>
  <si>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</si>
  <si>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</si>
  <si>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</si>
  <si>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</si>
  <si>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</si>
  <si>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</si>
  <si>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</si>
  <si>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</si>
  <si>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</si>
  <si>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</si>
  <si>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</si>
  <si>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</si>
  <si>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</si>
  <si>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</si>
  <si>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</si>
  <si>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</si>
  <si>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</si>
  <si>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</si>
  <si>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</si>
  <si>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</si>
  <si>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</si>
  <si>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</si>
  <si>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</si>
  <si>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</si>
  <si>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</si>
  <si>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</si>
  <si>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</si>
  <si>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</si>
  <si>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</si>
  <si>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</si>
  <si>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</si>
  <si>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</si>
  <si>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</si>
  <si>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</si>
  <si>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</si>
  <si>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</si>
  <si>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</si>
  <si>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</si>
  <si>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</si>
  <si>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</si>
  <si>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</si>
  <si>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</si>
  <si>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</si>
  <si>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</si>
  <si>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</si>
  <si>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</si>
  <si>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</si>
  <si>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</si>
  <si>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</si>
  <si>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</si>
  <si>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</si>
  <si>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</si>
  <si>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</si>
  <si>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</si>
  <si>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</si>
  <si>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</si>
  <si>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</si>
  <si>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</si>
  <si>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</si>
  <si>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</si>
  <si>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</si>
  <si>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</si>
  <si>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</si>
  <si>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</si>
  <si>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</si>
  <si>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</si>
  <si>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</si>
  <si>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</si>
  <si>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</si>
  <si>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</si>
  <si>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</si>
  <si>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</si>
  <si>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</si>
  <si>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</si>
  <si>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</si>
  <si>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</si>
  <si>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</si>
  <si>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</si>
  <si>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</si>
  <si>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</si>
  <si>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</si>
  <si>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</si>
  <si>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</si>
  <si>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</si>
  <si>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</si>
  <si>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</si>
  <si>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</si>
  <si>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</si>
  <si>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</si>
  <si>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</si>
  <si>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</si>
  <si>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</si>
  <si>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</si>
  <si>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</si>
  <si>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</si>
  <si>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</si>
  <si>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</si>
  <si>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</si>
  <si>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</si>
  <si>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</si>
  <si>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</si>
  <si>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</si>
  <si>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</si>
  <si>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</si>
  <si>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</si>
  <si>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</si>
  <si>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</si>
  <si>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</si>
  <si>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</si>
  <si>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</si>
  <si>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</si>
  <si>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</si>
  <si>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</si>
  <si>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</si>
  <si>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</si>
  <si>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</si>
  <si>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</si>
  <si>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</si>
  <si>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</si>
  <si>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</si>
  <si>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</si>
  <si>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</si>
  <si>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</si>
  <si>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</si>
  <si>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</si>
  <si>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</si>
  <si>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</si>
  <si>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</si>
  <si>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</si>
  <si>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</si>
  <si>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</si>
  <si>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</si>
  <si>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</si>
  <si>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</si>
  <si>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</si>
  <si>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</si>
  <si>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</si>
  <si>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</si>
  <si>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</si>
  <si>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</si>
  <si>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</si>
  <si>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</si>
  <si>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</si>
  <si>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</si>
  <si>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</si>
  <si>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</si>
  <si>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</si>
  <si>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</si>
  <si>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</si>
  <si>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</si>
  <si>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</si>
  <si>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</si>
  <si>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</si>
  <si>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</si>
  <si>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</si>
  <si>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</si>
  <si>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</si>
  <si>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</si>
  <si>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</si>
  <si>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</si>
  <si>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</si>
  <si>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</si>
  <si>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</si>
  <si>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</si>
  <si>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</si>
  <si>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</si>
  <si>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</si>
  <si>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</si>
  <si>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</si>
  <si>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</si>
  <si>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</si>
  <si>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</si>
  <si>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</si>
  <si>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</si>
  <si>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</si>
  <si>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</si>
  <si>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</si>
  <si>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</si>
  <si>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</si>
  <si>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</si>
  <si>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</si>
  <si>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</si>
  <si>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</si>
  <si>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</si>
  <si>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</si>
  <si>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</si>
  <si>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</si>
  <si>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</si>
  <si>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</si>
  <si>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</si>
  <si>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</si>
  <si>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</si>
  <si>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</si>
  <si>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</si>
  <si>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</si>
  <si>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</si>
  <si>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</si>
  <si>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</si>
  <si>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</si>
  <si>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</si>
  <si>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</si>
  <si>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</si>
  <si>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</si>
  <si>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</si>
  <si>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</si>
  <si>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</si>
  <si>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</si>
  <si>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</si>
  <si>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</si>
  <si>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</si>
  <si>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</si>
  <si>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</si>
  <si>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</si>
  <si>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</si>
  <si>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</si>
  <si>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</si>
  <si>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</si>
  <si>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</si>
  <si>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</si>
  <si>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</si>
  <si>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</si>
  <si>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</si>
  <si>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</si>
  <si>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</si>
  <si>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</si>
  <si>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</si>
  <si>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</si>
  <si>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</si>
  <si>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</si>
  <si>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</si>
  <si>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</si>
  <si>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</si>
  <si>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</si>
  <si>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</si>
  <si>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</si>
  <si>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</si>
  <si>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</si>
  <si>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</si>
  <si>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</si>
  <si>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</si>
  <si>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</si>
  <si>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</si>
  <si>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</si>
  <si>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</si>
  <si>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</si>
  <si>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</si>
  <si>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</si>
  <si>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</si>
  <si>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</si>
  <si>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</si>
  <si>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</si>
  <si>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</si>
  <si>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</si>
  <si>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</si>
  <si>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</si>
  <si>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</si>
  <si>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</si>
  <si>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</si>
  <si>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</si>
  <si>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</si>
  <si>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</si>
  <si>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</si>
  <si>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</si>
  <si>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</si>
  <si>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</si>
  <si>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</si>
  <si>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</si>
  <si>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</si>
  <si>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</si>
  <si>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</si>
  <si>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</si>
  <si>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</si>
  <si>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</si>
  <si>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</si>
  <si>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</si>
  <si>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</si>
  <si>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</si>
  <si>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</si>
  <si>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</si>
  <si>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</si>
  <si>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</si>
  <si>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</si>
  <si>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</si>
  <si>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</si>
  <si>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</si>
  <si>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</si>
  <si>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</si>
  <si>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</si>
  <si>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</si>
  <si>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</si>
  <si>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</si>
  <si>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</si>
  <si>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</si>
  <si>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</si>
  <si>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</si>
  <si>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</si>
  <si>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</si>
  <si>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</si>
  <si>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</si>
  <si>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</si>
  <si>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</si>
  <si>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</si>
  <si>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</si>
  <si>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</si>
  <si>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</si>
  <si>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</si>
  <si>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</si>
  <si>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</si>
  <si>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</si>
  <si>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</si>
  <si>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</si>
  <si>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</si>
  <si>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</si>
  <si>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</si>
  <si>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</si>
  <si>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</si>
  <si>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</si>
  <si>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</si>
  <si>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</si>
  <si>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</si>
  <si>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</si>
  <si>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</si>
  <si>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</si>
  <si>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</si>
  <si>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</si>
  <si>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</si>
  <si>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</si>
  <si>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</si>
  <si>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</si>
  <si>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</si>
  <si>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</si>
  <si>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</si>
  <si>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</si>
  <si>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</si>
  <si>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</si>
  <si>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</si>
  <si>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</si>
  <si>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</si>
  <si>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</si>
  <si>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</si>
  <si>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</si>
  <si>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</si>
  <si>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</si>
  <si>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</si>
  <si>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</si>
  <si>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</si>
  <si>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</si>
  <si>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</si>
  <si>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</si>
  <si>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</si>
  <si>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</si>
  <si>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</si>
  <si>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</si>
  <si>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</si>
  <si>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</si>
  <si>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</si>
  <si>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</si>
  <si>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</si>
  <si>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</si>
  <si>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</si>
  <si>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</si>
  <si>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</si>
  <si>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</si>
  <si>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</si>
  <si>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</si>
  <si>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</si>
  <si>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</si>
  <si>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</si>
  <si>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</si>
  <si>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</si>
  <si>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</si>
  <si>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</si>
  <si>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</si>
  <si>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</si>
  <si>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</si>
  <si>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</si>
  <si>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</si>
  <si>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</si>
  <si>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</si>
  <si>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</si>
  <si>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</si>
  <si>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</si>
  <si>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</si>
  <si>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</si>
  <si>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</si>
  <si>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</si>
  <si>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</si>
  <si>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</si>
  <si>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</si>
  <si>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</si>
  <si>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</si>
  <si>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</si>
  <si>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</si>
  <si>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</si>
  <si>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</si>
  <si>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</si>
  <si>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</si>
  <si>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</si>
  <si>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</si>
  <si>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</si>
  <si>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</si>
  <si>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</si>
  <si>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</si>
  <si>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</si>
  <si>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</si>
  <si>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</si>
  <si>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</si>
  <si>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</si>
  <si>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</si>
  <si>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</si>
  <si>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</si>
  <si>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</si>
  <si>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</si>
  <si>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</si>
  <si>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</si>
  <si>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</si>
  <si>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</si>
  <si>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</si>
  <si>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</si>
  <si>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</si>
  <si>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</si>
  <si>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</si>
  <si>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</si>
  <si>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</si>
  <si>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</si>
  <si>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</si>
  <si>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</si>
  <si>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</si>
  <si>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</si>
  <si>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</si>
  <si>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</si>
  <si>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</si>
  <si>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</si>
  <si>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</si>
  <si>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</si>
  <si>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</si>
  <si>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</si>
  <si>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</si>
  <si>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</si>
  <si>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</si>
  <si>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</si>
  <si>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</si>
  <si>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</si>
  <si>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</si>
  <si>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</si>
  <si>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</si>
  <si>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</si>
  <si>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</si>
  <si>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</si>
  <si>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</si>
  <si>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</si>
  <si>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</si>
  <si>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</si>
  <si>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</si>
  <si>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</si>
  <si>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</si>
  <si>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</si>
  <si>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</si>
  <si>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</si>
  <si>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</si>
  <si>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</si>
  <si>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</si>
  <si>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</si>
  <si>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</si>
  <si>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</si>
  <si>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</si>
  <si>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</si>
  <si>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</si>
  <si>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</si>
  <si>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</si>
  <si>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</si>
  <si>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</si>
  <si>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</si>
  <si>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</si>
  <si>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</si>
  <si>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</si>
  <si>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</si>
  <si>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</si>
  <si>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</si>
  <si>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</si>
  <si>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</si>
  <si>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</si>
  <si>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</si>
  <si>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</si>
  <si>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</si>
  <si>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</si>
  <si>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</si>
  <si>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</si>
  <si>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</si>
  <si>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</si>
  <si>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</si>
  <si>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</si>
  <si>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</si>
  <si>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</si>
  <si>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</si>
  <si>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</si>
  <si>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</si>
  <si>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</si>
  <si>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</si>
  <si>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</si>
  <si>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</si>
  <si>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</si>
  <si>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</si>
  <si>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</si>
  <si>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</si>
  <si>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</si>
  <si>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</si>
  <si>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</si>
  <si>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</si>
  <si>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</si>
  <si>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</si>
  <si>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</si>
  <si>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</si>
  <si>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</si>
  <si>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</si>
  <si>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</si>
  <si>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</si>
  <si>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</si>
  <si>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</si>
  <si>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</si>
  <si>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</si>
  <si>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</si>
  <si>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</si>
  <si>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</si>
  <si>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</si>
  <si>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</si>
  <si>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</si>
  <si>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</si>
  <si>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</si>
  <si>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</si>
  <si>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</si>
  <si>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</si>
  <si>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</si>
  <si>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</si>
  <si>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</si>
  <si>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</si>
  <si>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</si>
  <si>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</si>
  <si>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</si>
  <si>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</si>
  <si>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</si>
  <si>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</si>
  <si>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</si>
  <si>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</si>
  <si>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</si>
  <si>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</si>
  <si>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</si>
  <si>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</si>
  <si>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</si>
  <si>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</si>
  <si>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</si>
  <si>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</si>
  <si>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</si>
  <si>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</si>
  <si>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</si>
  <si>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</si>
  <si>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</si>
  <si>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</si>
  <si>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</si>
  <si>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</si>
  <si>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</si>
  <si>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</si>
  <si>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</si>
  <si>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</si>
  <si>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</si>
  <si>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</si>
  <si>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</si>
  <si>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</si>
  <si>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</si>
  <si>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</si>
  <si>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</si>
  <si>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</si>
  <si>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</si>
  <si>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</si>
  <si>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</si>
  <si>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</si>
  <si>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</si>
  <si>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</si>
  <si>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</si>
  <si>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</si>
  <si>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</si>
  <si>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</si>
  <si>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</si>
  <si>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</si>
  <si>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</si>
  <si>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</si>
  <si>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</si>
  <si>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</si>
  <si>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</si>
  <si>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</si>
  <si>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</si>
  <si>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</si>
  <si>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</si>
  <si>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</si>
  <si>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</si>
  <si>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</si>
  <si>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</si>
  <si>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</si>
  <si>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</si>
  <si>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</si>
  <si>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</si>
  <si>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</si>
  <si>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</si>
  <si>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</si>
  <si>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</si>
  <si>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</si>
  <si>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</si>
  <si>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</si>
  <si>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</si>
  <si>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</si>
  <si>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</si>
  <si>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</si>
  <si>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</si>
  <si>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</si>
  <si>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</si>
  <si>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</si>
  <si>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</si>
  <si>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</si>
  <si>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</si>
  <si>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</si>
  <si>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</si>
  <si>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</si>
  <si>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</si>
  <si>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</si>
  <si>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</si>
  <si>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</si>
  <si>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</si>
  <si>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</si>
  <si>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</si>
  <si>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</si>
  <si>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</si>
  <si>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</si>
  <si>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</si>
  <si>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</si>
  <si>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</si>
  <si>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</si>
  <si>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</si>
  <si>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</si>
  <si>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</si>
  <si>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</si>
  <si>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</si>
  <si>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</si>
  <si>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</si>
  <si>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</si>
  <si>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</si>
  <si>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</si>
  <si>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</si>
  <si>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</si>
  <si>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</si>
  <si>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</si>
  <si>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</si>
  <si>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</si>
  <si>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</si>
  <si>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</si>
  <si>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</si>
  <si>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</si>
  <si>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</si>
  <si>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</si>
  <si>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</si>
  <si>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</si>
  <si>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</si>
  <si>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</si>
  <si>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</si>
  <si>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</si>
  <si>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</si>
  <si>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</si>
  <si>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</si>
  <si>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</si>
  <si>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</si>
  <si>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</si>
  <si>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</si>
  <si>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</si>
  <si>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</si>
  <si>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</si>
  <si>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</si>
  <si>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</si>
  <si>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</si>
  <si>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</si>
  <si>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</si>
  <si>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</si>
  <si>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</si>
  <si>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</si>
  <si>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</si>
  <si>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</si>
  <si>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</si>
  <si>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</si>
  <si>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</si>
  <si>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</si>
  <si>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</si>
  <si>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</si>
  <si>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</si>
  <si>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</si>
  <si>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</si>
  <si>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</si>
  <si>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</si>
  <si>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</si>
  <si>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</si>
  <si>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</si>
  <si>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</si>
  <si>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</si>
  <si>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</si>
  <si>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</si>
  <si>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</si>
  <si>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</si>
  <si>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</si>
  <si>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</si>
  <si>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</si>
  <si>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</si>
  <si>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</si>
  <si>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</si>
  <si>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</si>
  <si>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</si>
  <si>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</si>
  <si>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</si>
  <si>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</si>
  <si>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</si>
  <si>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</si>
  <si>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</si>
  <si>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</si>
  <si>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</si>
  <si>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</si>
  <si>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</si>
  <si>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</si>
  <si>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</si>
  <si>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</si>
  <si>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</si>
  <si>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</si>
  <si>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</si>
  <si>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</si>
  <si>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</si>
  <si>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</si>
  <si>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</si>
  <si>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</si>
  <si>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</si>
  <si>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</si>
  <si>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</si>
  <si>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</si>
  <si>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</si>
  <si>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</si>
  <si>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</si>
  <si>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</si>
  <si>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</si>
  <si>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</si>
  <si>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</si>
  <si>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</si>
  <si>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</si>
  <si>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</si>
  <si>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</si>
  <si>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</si>
  <si>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</si>
  <si>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</si>
  <si>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</si>
  <si>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</si>
  <si>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</si>
  <si>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</si>
  <si>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</si>
  <si>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</si>
  <si>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</si>
  <si>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</si>
  <si>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</si>
  <si>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</si>
  <si>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</si>
  <si>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</si>
  <si>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</si>
  <si>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</si>
  <si>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</si>
  <si>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</si>
  <si>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</si>
  <si>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</si>
  <si>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</si>
  <si>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</si>
  <si>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</si>
  <si>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</si>
  <si>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</si>
  <si>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</si>
  <si>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</si>
  <si>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</si>
  <si>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</si>
  <si>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</si>
  <si>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</si>
  <si>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</si>
  <si>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</si>
  <si>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</si>
  <si>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</si>
  <si>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</si>
  <si>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</si>
  <si>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</si>
  <si>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</si>
  <si>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</si>
  <si>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</si>
  <si>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</si>
  <si>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</si>
  <si>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</si>
  <si>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</si>
  <si>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</si>
  <si>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</si>
  <si>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</si>
  <si>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</si>
  <si>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</si>
  <si>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</si>
  <si>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</si>
  <si>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</si>
  <si>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</si>
  <si>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</si>
  <si>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</si>
  <si>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</si>
  <si>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</si>
  <si>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</si>
  <si>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</si>
  <si>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</si>
  <si>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</si>
  <si>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</si>
  <si>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</si>
  <si>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</si>
  <si>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</si>
  <si>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</si>
  <si>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</si>
  <si>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</si>
  <si>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</si>
  <si>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</si>
  <si>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</si>
  <si>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</si>
  <si>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</si>
  <si>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</si>
  <si>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</si>
  <si>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</si>
  <si>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</si>
  <si>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</si>
  <si>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</si>
  <si>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</si>
  <si>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</si>
  <si>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</si>
  <si>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</si>
  <si>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</si>
  <si>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</si>
  <si>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</si>
  <si>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</si>
  <si>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</si>
  <si>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</si>
  <si>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</si>
  <si>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</si>
  <si>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</si>
  <si>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</si>
  <si>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</si>
  <si>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</si>
  <si>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</si>
  <si>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</si>
  <si>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</si>
  <si>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</si>
  <si>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</si>
  <si>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</si>
  <si>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</si>
  <si>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</si>
  <si>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</si>
  <si>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</si>
  <si>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</si>
  <si>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</si>
  <si>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</si>
  <si>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</si>
  <si>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</si>
  <si>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</si>
  <si>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</si>
  <si>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</si>
  <si>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</si>
  <si>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</si>
  <si>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</si>
  <si>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</si>
  <si>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</si>
  <si>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</si>
  <si>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</si>
  <si>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</si>
  <si>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</si>
  <si>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</si>
  <si>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</si>
  <si>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</si>
  <si>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</si>
  <si>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</si>
  <si>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</si>
  <si>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</si>
  <si>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</si>
  <si>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</si>
  <si>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</si>
  <si>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</si>
  <si>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</si>
  <si>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</si>
  <si>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</si>
  <si>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</si>
  <si>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</si>
  <si>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</si>
  <si>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</si>
  <si>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</si>
  <si>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</si>
  <si>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</si>
  <si>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</si>
  <si>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</si>
  <si>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</si>
  <si>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</si>
  <si>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</si>
  <si>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</si>
  <si>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</si>
  <si>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</si>
  <si>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</si>
  <si>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</si>
  <si>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</si>
  <si>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</si>
  <si>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</si>
  <si>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</si>
  <si>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</si>
  <si>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</si>
  <si>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</si>
  <si>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</si>
  <si>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</si>
  <si>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</si>
  <si>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</si>
  <si>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</si>
  <si>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</si>
  <si>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</si>
  <si>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</si>
  <si>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</si>
  <si>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</si>
  <si>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</si>
  <si>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</si>
  <si>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</si>
  <si>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</si>
  <si>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</si>
  <si>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</si>
  <si>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</si>
  <si>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</si>
  <si>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</si>
  <si>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</si>
  <si>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</si>
  <si>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</si>
  <si>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</si>
  <si>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</si>
  <si>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</si>
  <si>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</si>
  <si>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</si>
  <si>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</si>
  <si>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</si>
  <si>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</si>
  <si>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</si>
  <si>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</si>
  <si>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</si>
  <si>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</si>
  <si>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</si>
  <si>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</si>
  <si>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</si>
  <si>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</si>
  <si>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</si>
  <si>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</si>
  <si>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</si>
  <si>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</si>
  <si>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</si>
  <si>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</si>
  <si>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</si>
  <si>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</si>
  <si>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</si>
  <si>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</si>
  <si>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</si>
  <si>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</si>
  <si>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</si>
  <si>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</si>
  <si>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</si>
  <si>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</si>
  <si>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</si>
  <si>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</si>
  <si>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</si>
  <si>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</si>
  <si>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</si>
  <si>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</si>
  <si>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</si>
  <si>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</si>
  <si>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</si>
  <si>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</si>
  <si>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</si>
  <si>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</si>
  <si>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</si>
  <si>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</si>
  <si>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</si>
  <si>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</si>
  <si>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</si>
  <si>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</si>
  <si>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</si>
  <si>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</si>
  <si>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</si>
  <si>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</si>
  <si>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</si>
  <si>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</si>
  <si>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</si>
  <si>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</si>
  <si>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</si>
  <si>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</si>
  <si>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</si>
  <si>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</si>
  <si>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</si>
  <si>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</si>
  <si>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</si>
  <si>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</si>
  <si>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</si>
  <si>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</si>
  <si>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</si>
  <si>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</si>
  <si>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</si>
  <si>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</si>
  <si>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</si>
  <si>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</si>
  <si>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</si>
  <si>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</si>
  <si>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</si>
  <si>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</si>
  <si>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</si>
  <si>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</si>
  <si>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</si>
  <si>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</si>
  <si>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</si>
  <si>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</si>
  <si>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</si>
  <si>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</si>
  <si>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</si>
  <si>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</si>
  <si>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</si>
  <si>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</si>
  <si>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</si>
  <si>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</si>
  <si>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</si>
  <si>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</si>
  <si>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</si>
  <si>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</si>
  <si>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</si>
  <si>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</si>
  <si>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</si>
  <si>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</si>
  <si>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</si>
  <si>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</si>
  <si>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</si>
  <si>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</si>
  <si>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</si>
  <si>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</si>
  <si>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</si>
  <si>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</si>
  <si>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</si>
  <si>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</si>
  <si>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</si>
  <si>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</si>
  <si>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</si>
  <si>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</si>
  <si>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</si>
  <si>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</si>
  <si>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</si>
  <si>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</si>
  <si>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</si>
  <si>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</si>
  <si>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</si>
  <si>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</si>
  <si>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</si>
  <si>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</si>
  <si>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</si>
  <si>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</si>
  <si>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</si>
  <si>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</si>
  <si>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</si>
  <si>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</si>
  <si>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</si>
  <si>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</si>
  <si>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</si>
  <si>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</si>
  <si>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</si>
  <si>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</si>
  <si>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</si>
  <si>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</si>
  <si>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</si>
  <si>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</si>
  <si>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</si>
  <si>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</si>
  <si>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</si>
  <si>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</si>
  <si>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</si>
  <si>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</si>
  <si>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</si>
  <si>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</si>
  <si>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</si>
  <si>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</si>
  <si>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</si>
  <si>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</si>
  <si>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</si>
  <si>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</si>
  <si>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</si>
  <si>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</si>
  <si>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</si>
  <si>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</si>
  <si>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</si>
  <si>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</si>
  <si>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</si>
  <si>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</si>
  <si>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</si>
  <si>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</si>
  <si>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</si>
  <si>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</si>
  <si>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</si>
  <si>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</si>
  <si>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</si>
  <si>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</si>
  <si>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</si>
  <si>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</si>
  <si>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</si>
  <si>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</si>
  <si>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</si>
  <si>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</si>
  <si>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</si>
  <si>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</si>
  <si>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</si>
  <si>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</si>
  <si>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</si>
  <si>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</si>
  <si>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</si>
  <si>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</si>
  <si>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</si>
  <si>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</si>
  <si>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</si>
  <si>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</si>
  <si>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</si>
  <si>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</si>
  <si>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</si>
  <si>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</si>
  <si>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</si>
  <si>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</si>
  <si>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</si>
  <si>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</si>
  <si>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</si>
  <si>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</si>
  <si>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</si>
  <si>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</si>
  <si>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</si>
  <si>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</si>
  <si>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</si>
  <si>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</si>
  <si>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</si>
  <si>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</si>
  <si>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</si>
  <si>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</si>
  <si>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</si>
  <si>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</si>
  <si>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</si>
  <si>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</si>
  <si>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</si>
  <si>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</si>
  <si>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</si>
  <si>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</si>
  <si>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</si>
  <si>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</si>
  <si>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</si>
  <si>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</si>
  <si>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</si>
  <si>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</si>
  <si>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</si>
  <si>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</si>
  <si>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</si>
  <si>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</si>
  <si>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</si>
  <si>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</si>
  <si>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</si>
  <si>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</si>
  <si>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</si>
  <si>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</si>
  <si>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</si>
  <si>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</si>
  <si>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</si>
  <si>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</si>
  <si>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</si>
  <si>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</si>
  <si>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</si>
  <si>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</si>
  <si>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</si>
  <si>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</si>
  <si>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</si>
  <si>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</si>
  <si>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</si>
  <si>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</si>
  <si>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</si>
  <si>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</si>
  <si>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</si>
  <si>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</si>
  <si>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</si>
  <si>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</si>
  <si>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</si>
  <si>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</si>
  <si>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</si>
  <si>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</si>
  <si>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</si>
  <si>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</si>
  <si>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</si>
  <si>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</si>
  <si>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</si>
  <si>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</si>
  <si>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</si>
  <si>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</si>
  <si>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</si>
  <si>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</si>
  <si>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</si>
  <si>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</si>
  <si>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</si>
  <si>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</si>
  <si>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</si>
  <si>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</si>
  <si>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</si>
  <si>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</si>
  <si>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</si>
  <si>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</si>
  <si>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</si>
  <si>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</si>
  <si>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</si>
  <si>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</si>
  <si>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</si>
  <si>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</si>
  <si>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</si>
  <si>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</si>
  <si>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</si>
  <si>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</si>
  <si>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</si>
  <si>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</si>
  <si>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</si>
  <si>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</si>
  <si>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</si>
  <si>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</si>
  <si>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</si>
  <si>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</si>
  <si>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</si>
  <si>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</si>
  <si>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</si>
  <si>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</si>
  <si>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</si>
  <si>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</si>
  <si>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</si>
  <si>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</si>
  <si>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</si>
  <si>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</si>
  <si>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</si>
  <si>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</si>
  <si>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</si>
  <si>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</si>
  <si>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</si>
  <si>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</si>
  <si>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</si>
  <si>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</si>
  <si>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</si>
  <si>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</si>
  <si>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</si>
  <si>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</si>
  <si>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</si>
  <si>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</si>
  <si>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</si>
  <si>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</si>
  <si>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</si>
  <si>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</si>
  <si>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</si>
  <si>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</si>
  <si>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</si>
  <si>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</si>
  <si>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</si>
  <si>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</si>
  <si>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</si>
  <si>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</si>
  <si>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</si>
  <si>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</si>
  <si>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</si>
  <si>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</si>
  <si>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</si>
  <si>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</si>
  <si>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</si>
  <si>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</si>
  <si>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</si>
  <si>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</si>
  <si>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</si>
  <si>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</si>
  <si>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</si>
  <si>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</si>
  <si>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</si>
  <si>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</si>
  <si>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</si>
  <si>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</si>
  <si>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</si>
  <si>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</si>
  <si>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</si>
  <si>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</si>
  <si>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</si>
  <si>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</si>
  <si>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</si>
  <si>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</si>
  <si>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</si>
  <si>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</si>
  <si>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</si>
  <si>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</si>
  <si>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</si>
  <si>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</si>
  <si>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</si>
  <si>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</si>
  <si>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</si>
  <si>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</si>
  <si>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</si>
  <si>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</si>
  <si>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</si>
  <si>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</si>
  <si>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</si>
  <si>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</si>
  <si>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</si>
  <si>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</si>
  <si>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</si>
  <si>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</si>
  <si>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</si>
  <si>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</si>
  <si>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</si>
  <si>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</si>
  <si>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</si>
  <si>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</si>
  <si>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</si>
  <si>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</si>
  <si>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</si>
  <si>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</si>
  <si>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</si>
  <si>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</si>
  <si>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</si>
  <si>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</si>
  <si>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</si>
  <si>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</si>
  <si>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</si>
  <si>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</si>
  <si>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</si>
  <si>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</si>
  <si>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</si>
  <si>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</si>
  <si>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</si>
  <si>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</si>
  <si>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</si>
  <si>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</si>
  <si>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</si>
  <si>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</si>
  <si>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</si>
  <si>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</si>
  <si>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</si>
  <si>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</si>
  <si>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</si>
  <si>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</si>
  <si>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</si>
  <si>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</si>
  <si>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</si>
  <si>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</si>
  <si>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</si>
  <si>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</si>
  <si>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</si>
  <si>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</si>
  <si>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</si>
  <si>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</si>
  <si>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</si>
  <si>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</si>
  <si>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</si>
  <si>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</si>
  <si>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</si>
  <si>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</si>
  <si>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</si>
  <si>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</si>
  <si>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</si>
  <si>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</si>
  <si>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</si>
  <si>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</si>
  <si>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</si>
  <si>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</si>
  <si>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</si>
  <si>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</si>
  <si>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</si>
  <si>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</si>
  <si>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</si>
  <si>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</si>
  <si>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</si>
  <si>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</si>
  <si>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</si>
  <si>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</si>
  <si>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</si>
  <si>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</si>
  <si>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</si>
  <si>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</si>
  <si>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</si>
  <si>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</si>
  <si>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</si>
  <si>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</si>
  <si>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</si>
  <si>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</si>
  <si>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</si>
  <si>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</si>
  <si>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</si>
  <si>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</si>
  <si>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</si>
  <si>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</si>
  <si>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</si>
  <si>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</si>
  <si>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</si>
  <si>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</si>
  <si>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</si>
  <si>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</si>
  <si>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</si>
  <si>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</si>
  <si>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</si>
  <si>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</si>
  <si>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</si>
  <si>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</si>
  <si>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</si>
  <si>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</si>
  <si>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</si>
  <si>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</si>
  <si>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</si>
  <si>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</si>
  <si>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</si>
  <si>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</si>
  <si>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</si>
  <si>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</si>
  <si>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</si>
  <si>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</si>
  <si>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</si>
  <si>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</si>
  <si>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</si>
  <si>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</si>
  <si>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</si>
  <si>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</si>
  <si>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</si>
  <si>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</si>
  <si>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</si>
  <si>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</si>
  <si>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</si>
  <si>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</si>
  <si>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</si>
  <si>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</si>
  <si>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</si>
  <si>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</si>
  <si>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</si>
  <si>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</si>
  <si>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</si>
  <si>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</si>
  <si>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</si>
  <si>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</si>
  <si>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</si>
  <si>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</si>
  <si>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</si>
  <si>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</si>
  <si>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</si>
  <si>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</si>
  <si>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</si>
  <si>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</si>
  <si>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</si>
  <si>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</si>
  <si>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</si>
  <si>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</si>
  <si>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</si>
  <si>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</si>
  <si>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</si>
  <si>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</si>
  <si>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</si>
  <si>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</si>
  <si>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</si>
  <si>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</si>
  <si>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</si>
  <si>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</si>
  <si>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</si>
  <si>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</si>
  <si>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</si>
  <si>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</si>
  <si>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</si>
  <si>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</si>
  <si>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</si>
  <si>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</si>
  <si>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</si>
  <si>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</si>
  <si>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</si>
  <si>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</si>
  <si>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</si>
  <si>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</si>
  <si>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</si>
  <si>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</si>
  <si>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</si>
  <si>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</si>
  <si>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</si>
  <si>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</si>
  <si>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</si>
  <si>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</si>
  <si>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</si>
  <si>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</si>
  <si>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</si>
  <si>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</si>
  <si>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</si>
  <si>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</si>
  <si>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</si>
  <si>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</si>
  <si>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</si>
  <si>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</si>
  <si>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</si>
  <si>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</si>
  <si>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</si>
  <si>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</si>
  <si>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</si>
  <si>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</si>
  <si>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</si>
  <si>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</si>
  <si>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</si>
  <si>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</si>
  <si>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</si>
  <si>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</si>
  <si>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</si>
  <si>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</si>
  <si>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</si>
  <si>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</si>
  <si>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</si>
  <si>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</si>
  <si>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</si>
  <si>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</si>
  <si>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</si>
  <si>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</si>
  <si>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</si>
  <si>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</si>
  <si>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</si>
  <si>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</si>
  <si>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</si>
  <si>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</si>
  <si>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</si>
  <si>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</si>
  <si>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</si>
  <si>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</si>
  <si>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</si>
  <si>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</si>
  <si>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</si>
  <si>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</si>
  <si>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</si>
  <si>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</si>
  <si>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</si>
  <si>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</si>
  <si>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</si>
  <si>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</si>
  <si>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</si>
  <si>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</si>
  <si>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</si>
  <si>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</si>
  <si>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</si>
  <si>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</si>
  <si>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</si>
  <si>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</si>
  <si>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</si>
  <si>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</si>
  <si>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</si>
  <si>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</si>
  <si>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</si>
  <si>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</si>
  <si>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</si>
  <si>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</si>
  <si>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</si>
  <si>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</si>
  <si>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</si>
  <si>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</si>
  <si>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</si>
  <si>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</si>
  <si>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</si>
  <si>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</si>
  <si>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</si>
  <si>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</si>
  <si>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</si>
  <si>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</si>
  <si>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</si>
  <si>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</si>
  <si>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</si>
  <si>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</si>
  <si>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</si>
  <si>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</si>
  <si>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</si>
  <si>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</si>
  <si>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</si>
  <si>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</si>
  <si>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</si>
  <si>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</si>
  <si>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</si>
  <si>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</si>
  <si>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</si>
  <si>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</si>
  <si>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</si>
  <si>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</si>
  <si>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</si>
  <si>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</si>
  <si>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</si>
  <si>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</si>
  <si>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</si>
  <si>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</si>
  <si>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</si>
  <si>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</si>
  <si>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</si>
  <si>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</si>
  <si>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</si>
  <si>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</si>
  <si>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</si>
  <si>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</si>
  <si>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</si>
  <si>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</si>
  <si>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</si>
  <si>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</si>
  <si>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</si>
  <si>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</si>
  <si>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</si>
  <si>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</si>
  <si>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</si>
  <si>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</si>
  <si>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</si>
  <si>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</si>
  <si>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</si>
  <si>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</si>
  <si>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</si>
  <si>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</si>
  <si>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</si>
  <si>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</si>
  <si>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</si>
  <si>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</si>
  <si>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</si>
  <si>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</si>
  <si>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</si>
  <si>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</si>
  <si>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</si>
  <si>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</si>
  <si>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</si>
  <si>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</si>
  <si>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</si>
  <si>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</si>
  <si>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</si>
  <si>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</si>
  <si>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</si>
  <si>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</si>
  <si>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</si>
  <si>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</si>
  <si>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</si>
  <si>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</si>
  <si>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</si>
  <si>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</si>
  <si>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</si>
  <si>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</si>
  <si>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</si>
  <si>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</si>
  <si>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</si>
  <si>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</si>
  <si>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</si>
  <si>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</si>
  <si>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</si>
  <si>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</si>
  <si>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</si>
  <si>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</si>
  <si>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</si>
  <si>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</si>
  <si>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</si>
  <si>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</si>
  <si>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</si>
  <si>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</si>
  <si>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</si>
  <si>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</si>
  <si>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</si>
  <si>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</si>
  <si>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</si>
  <si>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</si>
  <si>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</si>
  <si>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</si>
  <si>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</si>
  <si>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</si>
  <si>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</si>
  <si>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</si>
  <si>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</si>
  <si>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</si>
  <si>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</si>
  <si>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</si>
  <si>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</si>
  <si>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</si>
  <si>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</si>
  <si>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</si>
  <si>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</si>
  <si>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</si>
  <si>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</si>
  <si>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</si>
  <si>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</si>
  <si>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</si>
  <si>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</si>
  <si>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</si>
  <si>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</si>
  <si>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</si>
  <si>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</si>
  <si>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</si>
  <si>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</si>
  <si>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</si>
  <si>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</si>
  <si>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</si>
  <si>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</si>
  <si>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</si>
  <si>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</si>
  <si>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</si>
  <si>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</si>
  <si>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</si>
  <si>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</si>
  <si>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</si>
  <si>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</si>
  <si>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</si>
  <si>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</si>
  <si>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</si>
  <si>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</si>
  <si>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</si>
  <si>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</si>
  <si>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</si>
  <si>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</si>
  <si>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</si>
  <si>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</si>
  <si>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</si>
  <si>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</si>
  <si>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</si>
  <si>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</si>
  <si>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</si>
  <si>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</si>
  <si>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</si>
  <si>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</si>
  <si>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</si>
  <si>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</si>
  <si>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</si>
  <si>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</si>
  <si>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</si>
  <si>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</si>
  <si>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</si>
  <si>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</si>
  <si>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</si>
  <si>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</si>
  <si>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</si>
  <si>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</si>
  <si>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</si>
  <si>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</si>
  <si>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</si>
  <si>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</si>
  <si>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</si>
  <si>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</si>
  <si>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</si>
  <si>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</si>
  <si>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</si>
  <si>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</si>
  <si>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</si>
  <si>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</si>
  <si>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</si>
  <si>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</si>
  <si>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</si>
  <si>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</si>
  <si>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</si>
  <si>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</si>
  <si>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</si>
  <si>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</si>
  <si>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</si>
  <si>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</si>
  <si>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</si>
  <si>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</si>
  <si>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</si>
  <si>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</si>
  <si>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</si>
  <si>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</si>
  <si>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</si>
  <si>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</si>
  <si>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</si>
  <si>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</si>
  <si>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</si>
  <si>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</si>
  <si>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</si>
  <si>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</si>
  <si>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</si>
  <si>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</si>
  <si>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</si>
  <si>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</si>
  <si>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</si>
  <si>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</si>
  <si>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</si>
  <si>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</si>
  <si>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</si>
  <si>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</si>
  <si>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</si>
  <si>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</si>
  <si>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</si>
  <si>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</si>
  <si>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</si>
  <si>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</si>
  <si>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</si>
  <si>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</si>
  <si>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</si>
  <si>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</si>
  <si>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</si>
  <si>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</si>
  <si>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</si>
  <si>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</si>
  <si>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</si>
  <si>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</si>
  <si>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</si>
  <si>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</si>
  <si>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</si>
  <si>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</si>
  <si>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</si>
  <si>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</si>
  <si>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</si>
  <si>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</si>
  <si>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</si>
  <si>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</si>
  <si>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</si>
  <si>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</si>
  <si>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</si>
  <si>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</si>
  <si>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</si>
  <si>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</si>
  <si>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</si>
  <si>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</si>
  <si>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</si>
  <si>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</si>
  <si>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</si>
  <si>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</si>
  <si>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</si>
  <si>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</si>
  <si>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</si>
  <si>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</si>
  <si>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</si>
  <si>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</si>
  <si>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</si>
  <si>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</si>
  <si>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</si>
  <si>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</si>
  <si>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</si>
  <si>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</si>
  <si>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</si>
  <si>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</si>
  <si>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</si>
  <si>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</si>
  <si>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</si>
  <si>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</si>
  <si>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</si>
  <si>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</si>
  <si>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</si>
  <si>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</si>
  <si>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</si>
  <si>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</si>
  <si>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</si>
  <si>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</si>
  <si>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</si>
  <si>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</si>
  <si>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</si>
  <si>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</si>
  <si>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</si>
  <si>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</si>
  <si>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</si>
  <si>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</si>
  <si>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</si>
  <si>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</si>
  <si>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</si>
  <si>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</si>
  <si>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</si>
  <si>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</si>
  <si>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</si>
  <si>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</si>
  <si>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</si>
  <si>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</si>
  <si>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</si>
  <si>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</si>
  <si>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</si>
  <si>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</si>
  <si>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</si>
  <si>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</si>
  <si>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</si>
  <si>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</si>
  <si>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</si>
  <si>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</si>
  <si>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</si>
  <si>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</si>
  <si>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</si>
  <si>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</si>
  <si>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</si>
  <si>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</si>
  <si>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</si>
  <si>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</si>
  <si>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</si>
  <si>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</si>
  <si>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</si>
  <si>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</si>
  <si>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</si>
  <si>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</si>
  <si>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</si>
  <si>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</si>
  <si>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</si>
  <si>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</si>
  <si>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</si>
  <si>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</si>
  <si>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</si>
  <si>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</si>
  <si>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</si>
  <si>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</si>
  <si>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</si>
  <si>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</si>
  <si>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</si>
  <si>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</si>
  <si>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</si>
  <si>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</si>
  <si>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</si>
  <si>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</si>
  <si>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</si>
  <si>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</si>
  <si>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</si>
  <si>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</si>
  <si>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</si>
  <si>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</si>
  <si>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</si>
  <si>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</si>
  <si>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</si>
  <si>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</si>
  <si>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</si>
  <si>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</si>
  <si>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</si>
  <si>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</si>
  <si>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</si>
  <si>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</si>
  <si>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</si>
  <si>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</si>
  <si>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</si>
  <si>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</si>
  <si>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</si>
  <si>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</si>
  <si>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</si>
  <si>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</si>
  <si>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</si>
  <si>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</si>
  <si>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</si>
  <si>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</si>
  <si>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</si>
  <si>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</si>
  <si>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</si>
  <si>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</si>
  <si>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</si>
  <si>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</si>
  <si>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</si>
  <si>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</si>
  <si>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</si>
  <si>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</si>
  <si>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</si>
  <si>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</si>
  <si>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</si>
  <si>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</si>
  <si>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</si>
  <si>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</si>
  <si>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</si>
  <si>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</si>
  <si>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</si>
  <si>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</si>
  <si>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</si>
  <si>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</si>
  <si>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</si>
  <si>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</si>
  <si>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</si>
  <si>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</si>
  <si>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</si>
  <si>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</si>
  <si>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</si>
  <si>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</si>
  <si>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</si>
  <si>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</si>
  <si>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</si>
  <si>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</si>
  <si>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</si>
  <si>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</si>
  <si>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</si>
  <si>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</si>
  <si>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</si>
  <si>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</si>
  <si>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</si>
  <si>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</si>
  <si>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</si>
  <si>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</si>
  <si>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</si>
  <si>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</si>
  <si>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</si>
  <si>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</si>
  <si>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</si>
  <si>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</si>
  <si>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</si>
  <si>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</si>
  <si>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</si>
  <si>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</si>
  <si>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</si>
  <si>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</si>
  <si>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</si>
  <si>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</si>
  <si>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</si>
  <si>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</si>
  <si>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</si>
  <si>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</si>
  <si>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</si>
  <si>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</si>
  <si>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</si>
  <si>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</si>
  <si>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</si>
  <si>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</si>
  <si>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</si>
  <si>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</si>
  <si>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</si>
  <si>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</si>
  <si>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</si>
  <si>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</si>
  <si>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</si>
  <si>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</si>
  <si>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</si>
  <si>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</si>
  <si>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</si>
  <si>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</si>
  <si>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</si>
  <si>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</si>
  <si>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</si>
  <si>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</si>
  <si>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</si>
  <si>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</si>
  <si>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</si>
  <si>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</si>
  <si>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</si>
  <si>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</si>
  <si>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</si>
  <si>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</si>
  <si>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</si>
  <si>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</si>
  <si>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</si>
  <si>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</si>
  <si>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</si>
  <si>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</si>
  <si>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</si>
  <si>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</si>
  <si>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</si>
  <si>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</si>
  <si>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</si>
  <si>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</si>
  <si>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</si>
  <si>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</si>
  <si>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</si>
  <si>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</si>
  <si>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</si>
  <si>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</si>
  <si>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</si>
  <si>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</si>
  <si>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</si>
  <si>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</si>
  <si>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</si>
  <si>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</si>
  <si>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</si>
  <si>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</si>
  <si>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</si>
  <si>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</si>
  <si>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</si>
  <si>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</si>
  <si>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</si>
  <si>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</si>
  <si>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</si>
  <si>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</si>
  <si>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</si>
  <si>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</si>
  <si>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</si>
  <si>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</si>
  <si>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</si>
  <si>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</si>
  <si>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</si>
  <si>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</si>
  <si>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</si>
  <si>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</si>
  <si>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</si>
  <si>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</si>
  <si>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</si>
  <si>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</si>
  <si>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</si>
  <si>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</si>
  <si>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</si>
  <si>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</si>
  <si>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</si>
  <si>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</si>
  <si>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</si>
  <si>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</si>
  <si>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</si>
  <si>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</si>
  <si>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</si>
  <si>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</si>
  <si>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</si>
  <si>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</si>
  <si>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</si>
  <si>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</si>
  <si>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</si>
  <si>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</si>
  <si>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</si>
  <si>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</si>
  <si>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</si>
  <si>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</si>
  <si>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</si>
  <si>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</si>
  <si>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</si>
  <si>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</si>
  <si>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</si>
  <si>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</si>
  <si>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</si>
  <si>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</si>
  <si>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</si>
  <si>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</si>
  <si>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</si>
  <si>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</si>
  <si>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</si>
  <si>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</si>
  <si>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</si>
  <si>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</si>
  <si>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</si>
  <si>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</si>
  <si>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</si>
  <si>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</si>
  <si>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</si>
  <si>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</si>
  <si>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</si>
  <si>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</si>
  <si>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</si>
  <si>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</si>
  <si>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</si>
  <si>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</si>
  <si>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</si>
  <si>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</si>
  <si>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</si>
  <si>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</si>
  <si>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</si>
  <si>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</si>
  <si>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</si>
  <si>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</si>
  <si>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</si>
  <si>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</si>
  <si>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</si>
  <si>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</si>
  <si>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</si>
  <si>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</si>
  <si>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</si>
  <si>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</si>
  <si>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</si>
  <si>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</si>
  <si>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</si>
  <si>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</si>
  <si>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</si>
  <si>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</si>
  <si>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</si>
  <si>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</si>
  <si>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</si>
  <si>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</si>
  <si>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</si>
  <si>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</si>
  <si>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</si>
  <si>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</si>
  <si>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</si>
  <si>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</si>
  <si>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</si>
  <si>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</si>
  <si>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</si>
  <si>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</si>
  <si>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</si>
  <si>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</si>
  <si>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</si>
  <si>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</si>
  <si>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</si>
  <si>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</si>
  <si>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</si>
  <si>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</si>
  <si>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</si>
  <si>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</si>
  <si>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</si>
  <si>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</si>
  <si>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</si>
  <si>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</si>
  <si>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</si>
  <si>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</si>
  <si>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</si>
  <si>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</si>
  <si>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</si>
  <si>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</si>
  <si>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</si>
  <si>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</si>
  <si>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</si>
  <si>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</si>
  <si>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</si>
  <si>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</si>
  <si>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</si>
  <si>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</si>
  <si>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</si>
  <si>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</si>
  <si>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</si>
  <si>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</si>
  <si>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</si>
  <si>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</si>
  <si>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</si>
  <si>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</si>
  <si>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</si>
  <si>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</si>
  <si>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</si>
  <si>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</si>
  <si>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</si>
  <si>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</si>
  <si>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</si>
  <si>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</si>
  <si>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</si>
  <si>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</si>
  <si>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</si>
  <si>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</si>
  <si>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</si>
  <si>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</si>
  <si>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</si>
  <si>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</si>
  <si>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</si>
  <si>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</si>
  <si>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</si>
  <si>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</si>
  <si>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</si>
  <si>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</si>
  <si>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</si>
  <si>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</si>
  <si>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</si>
  <si>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</si>
  <si>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</si>
  <si>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</si>
  <si>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</si>
  <si>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</si>
  <si>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</si>
  <si>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</si>
  <si>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</si>
  <si>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</si>
  <si>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</si>
  <si>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</si>
  <si>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</si>
  <si>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</si>
  <si>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</si>
  <si>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</si>
  <si>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</si>
  <si>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</si>
  <si>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</si>
  <si>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</si>
  <si>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</si>
  <si>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</si>
  <si>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</si>
  <si>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</si>
  <si>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</si>
  <si>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</si>
  <si>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</si>
  <si>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</si>
  <si>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</si>
  <si>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</si>
  <si>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</si>
  <si>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</si>
  <si>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</si>
  <si>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</si>
  <si>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</si>
  <si>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</si>
  <si>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</si>
  <si>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</si>
  <si>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</si>
  <si>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</si>
  <si>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</si>
  <si>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</si>
  <si>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</si>
  <si>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</si>
  <si>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</si>
  <si>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</si>
  <si>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</si>
  <si>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</si>
  <si>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</si>
  <si>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</si>
  <si>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</si>
  <si>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</si>
  <si>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</si>
  <si>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</si>
  <si>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</si>
  <si>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</si>
  <si>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</si>
  <si>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</si>
  <si>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</si>
  <si>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</si>
  <si>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</si>
  <si>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</si>
  <si>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</si>
  <si>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</si>
  <si>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</si>
  <si>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</si>
  <si>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</si>
  <si>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</si>
  <si>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</si>
  <si>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</si>
  <si>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</si>
  <si>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</si>
  <si>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</si>
  <si>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</si>
  <si>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</si>
  <si>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</si>
  <si>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</si>
  <si>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</si>
  <si>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</si>
  <si>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</si>
  <si>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</si>
  <si>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</si>
  <si>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</si>
  <si>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</si>
  <si>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</si>
  <si>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</si>
  <si>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</si>
  <si>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</si>
  <si>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</si>
  <si>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</si>
  <si>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</si>
  <si>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</si>
  <si>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</si>
  <si>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</si>
  <si>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</si>
  <si>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</si>
  <si>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</si>
  <si>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</si>
  <si>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</si>
  <si>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</si>
  <si>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</si>
  <si>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</si>
  <si>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</si>
  <si>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</si>
  <si>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</si>
  <si>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</si>
  <si>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</si>
  <si>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</si>
  <si>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</si>
  <si>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</si>
  <si>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</si>
  <si>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</si>
  <si>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</si>
  <si>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</si>
  <si>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</si>
  <si>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</si>
  <si>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</si>
  <si>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</si>
  <si>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</si>
  <si>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</si>
  <si>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</si>
  <si>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</si>
  <si>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</si>
  <si>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</si>
  <si>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</si>
  <si>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</si>
  <si>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</si>
  <si>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</si>
  <si>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</si>
  <si>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</si>
  <si>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</si>
  <si>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</si>
  <si>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</si>
  <si>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</si>
  <si>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</si>
  <si>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</si>
  <si>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</si>
  <si>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</si>
  <si>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</si>
  <si>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</si>
  <si>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</si>
  <si>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</si>
  <si>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</si>
  <si>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</si>
  <si>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</si>
  <si>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</si>
  <si>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</si>
  <si>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</si>
  <si>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</si>
  <si>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</si>
  <si>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</si>
  <si>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</si>
  <si>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</si>
  <si>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</si>
  <si>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</si>
  <si>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</si>
  <si>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</si>
  <si>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</si>
  <si>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</si>
  <si>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</si>
  <si>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</si>
  <si>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</si>
  <si>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</si>
  <si>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</si>
  <si>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</si>
  <si>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</si>
  <si>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</si>
  <si>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</si>
  <si>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</si>
  <si>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</si>
  <si>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</si>
  <si>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</si>
  <si>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</si>
  <si>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</si>
  <si>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</si>
  <si>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</si>
  <si>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</si>
  <si>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</si>
  <si>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</si>
  <si>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</si>
  <si>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</si>
  <si>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</si>
  <si>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</si>
  <si>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</si>
  <si>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</si>
  <si>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</si>
  <si>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</si>
  <si>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</si>
  <si>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</si>
  <si>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</si>
  <si>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</si>
  <si>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</si>
  <si>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</si>
  <si>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</si>
  <si>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</si>
  <si>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</si>
  <si>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</si>
  <si>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</si>
  <si>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</si>
  <si>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</si>
  <si>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</si>
  <si>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</si>
  <si>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</si>
  <si>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</si>
  <si>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</si>
  <si>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</si>
  <si>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</si>
  <si>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</si>
  <si>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</si>
  <si>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</si>
  <si>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</si>
  <si>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</si>
  <si>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</si>
  <si>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</si>
  <si>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</si>
  <si>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</si>
  <si>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</si>
  <si>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</si>
  <si>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</si>
  <si>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</si>
  <si>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</si>
  <si>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</si>
  <si>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</si>
  <si>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</si>
  <si>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</si>
  <si>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</si>
  <si>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</si>
  <si>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</si>
  <si>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</si>
  <si>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</si>
  <si>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</si>
  <si>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</si>
  <si>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</si>
  <si>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</si>
  <si>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</si>
  <si>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</si>
  <si>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</si>
  <si>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</si>
  <si>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</si>
  <si>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</si>
  <si>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</si>
  <si>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</si>
  <si>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</si>
  <si>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</si>
  <si>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</si>
  <si>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</si>
  <si>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</si>
  <si>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</si>
  <si>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</si>
  <si>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</si>
  <si>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</si>
  <si>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</si>
  <si>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</si>
  <si>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</si>
  <si>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</si>
  <si>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</si>
  <si>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</si>
  <si>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</si>
  <si>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</si>
  <si>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</si>
  <si>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</si>
  <si>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</si>
  <si>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</si>
  <si>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</si>
  <si>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</si>
  <si>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</si>
  <si>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</si>
  <si>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</si>
  <si>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</si>
  <si>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</si>
  <si>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</si>
  <si>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</si>
  <si>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</si>
  <si>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</si>
  <si>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</si>
  <si>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</si>
  <si>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</si>
  <si>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</si>
  <si>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</si>
  <si>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</si>
  <si>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</si>
  <si>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</si>
  <si>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</si>
  <si>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</si>
  <si>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</si>
  <si>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</si>
  <si>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</si>
  <si>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</si>
  <si>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</si>
  <si>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</si>
  <si>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</si>
  <si>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</si>
  <si>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</si>
  <si>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</si>
  <si>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</si>
  <si>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</si>
  <si>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</si>
  <si>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</si>
  <si>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</si>
  <si>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</si>
  <si>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</si>
  <si>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</si>
  <si>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</si>
  <si>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</si>
  <si>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</si>
  <si>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</si>
  <si>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</si>
  <si>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</si>
  <si>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</si>
  <si>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</si>
  <si>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</si>
  <si>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</si>
  <si>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</si>
  <si>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</si>
  <si>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</si>
  <si>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</si>
  <si>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</si>
  <si>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</si>
  <si>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</si>
  <si>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</si>
  <si>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</si>
  <si>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</si>
  <si>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</si>
  <si>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</si>
  <si>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</si>
  <si>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</si>
  <si>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</si>
  <si>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</si>
  <si>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</si>
  <si>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</si>
  <si>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</si>
  <si>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</si>
  <si>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</si>
  <si>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</si>
  <si>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</si>
  <si>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</si>
  <si>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</si>
  <si>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</si>
  <si>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</si>
  <si>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</si>
  <si>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</si>
  <si>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</si>
  <si>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</si>
  <si>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</si>
  <si>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</si>
  <si>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</si>
  <si>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</si>
  <si>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</si>
  <si>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</si>
  <si>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</si>
  <si>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</si>
  <si>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</si>
  <si>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</si>
  <si>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</si>
  <si>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</si>
  <si>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</si>
  <si>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</si>
  <si>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</si>
  <si>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</si>
  <si>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</si>
  <si>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</si>
  <si>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</si>
  <si>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</si>
  <si>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</si>
  <si>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</si>
  <si>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</si>
  <si>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</si>
  <si>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</si>
  <si>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</si>
  <si>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</si>
  <si>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</si>
  <si>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</si>
  <si>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</si>
  <si>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</si>
  <si>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</si>
  <si>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</si>
  <si>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</si>
  <si>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</si>
  <si>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</si>
  <si>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</si>
  <si>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</si>
  <si>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</si>
  <si>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</si>
  <si>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</si>
  <si>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</si>
  <si>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</si>
  <si>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</si>
  <si>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</si>
  <si>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</si>
  <si>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</si>
  <si>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</si>
  <si>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</si>
  <si>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</si>
  <si>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</si>
  <si>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</si>
  <si>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</si>
  <si>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</si>
  <si>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</si>
  <si>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</si>
  <si>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</si>
  <si>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</si>
  <si>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</si>
  <si>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</si>
  <si>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</si>
  <si>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</si>
  <si>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</si>
  <si>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</si>
  <si>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</si>
  <si>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</si>
  <si>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</si>
  <si>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</si>
  <si>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</si>
  <si>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</si>
  <si>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</si>
  <si>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</si>
  <si>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</si>
  <si>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</si>
  <si>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</si>
  <si>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</si>
  <si>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</si>
  <si>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</si>
  <si>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</si>
  <si>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</si>
  <si>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</si>
  <si>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</si>
  <si>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</si>
  <si>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</si>
  <si>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</si>
  <si>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</si>
  <si>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</si>
  <si>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</si>
  <si>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</si>
  <si>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</si>
  <si>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</si>
  <si>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</si>
  <si>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</si>
  <si>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</si>
  <si>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</si>
  <si>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</si>
  <si>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</si>
  <si>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</si>
  <si>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</si>
  <si>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</si>
  <si>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</si>
  <si>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</si>
  <si>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</si>
  <si>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</si>
  <si>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</si>
  <si>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</si>
  <si>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</si>
  <si>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</si>
  <si>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</si>
  <si>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</si>
  <si>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</si>
  <si>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</si>
  <si>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</si>
  <si>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</si>
  <si>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</si>
  <si>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</si>
  <si>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</si>
  <si>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</si>
  <si>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</si>
  <si>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</si>
  <si>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</si>
  <si>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</si>
  <si>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</si>
  <si>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</si>
  <si>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</si>
  <si>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</si>
  <si>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</si>
  <si>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</si>
  <si>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</si>
  <si>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</si>
  <si>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</si>
  <si>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</si>
  <si>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</si>
  <si>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</si>
  <si>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</si>
  <si>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</si>
  <si>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</si>
  <si>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</si>
  <si>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</si>
  <si>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</si>
  <si>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</si>
  <si>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</si>
  <si>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</si>
  <si>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</si>
  <si>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</si>
  <si>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</si>
  <si>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</si>
  <si>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</si>
  <si>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</si>
  <si>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</si>
  <si>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</si>
  <si>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</si>
  <si>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</si>
  <si>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</si>
  <si>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</si>
  <si>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</si>
  <si>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</si>
  <si>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</si>
  <si>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</si>
  <si>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</si>
  <si>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</si>
  <si>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</si>
  <si>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</si>
  <si>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</si>
  <si>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</si>
  <si>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</si>
  <si>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</si>
  <si>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</si>
  <si>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</si>
  <si>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</si>
  <si>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</si>
  <si>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</si>
  <si>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</si>
  <si>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</si>
  <si>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</si>
  <si>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</si>
  <si>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</si>
  <si>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</si>
  <si>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</si>
  <si>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</si>
  <si>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</si>
  <si>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</si>
  <si>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</si>
  <si>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</si>
  <si>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</si>
  <si>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</si>
  <si>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</si>
  <si>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</si>
  <si>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</si>
  <si>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</si>
  <si>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</si>
  <si>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</si>
  <si>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</si>
  <si>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</si>
  <si>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</si>
  <si>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</si>
  <si>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</si>
  <si>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</si>
  <si>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</si>
  <si>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</si>
  <si>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</si>
  <si>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</si>
  <si>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</si>
  <si>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</si>
  <si>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</si>
  <si>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</si>
  <si>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</si>
  <si>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</si>
  <si>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</si>
  <si>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</si>
  <si>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</si>
  <si>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</si>
  <si>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</si>
  <si>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</si>
  <si>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</si>
  <si>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</si>
  <si>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</si>
  <si>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</si>
  <si>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</si>
  <si>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</si>
  <si>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</si>
  <si>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</si>
  <si>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</si>
  <si>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</si>
  <si>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</si>
  <si>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</si>
  <si>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</si>
  <si>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</si>
  <si>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</si>
  <si>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</si>
  <si>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</si>
  <si>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</si>
  <si>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</si>
  <si>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</si>
  <si>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</si>
  <si>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</si>
  <si>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</si>
  <si>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</si>
  <si>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</si>
  <si>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</si>
  <si>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</si>
  <si>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</si>
  <si>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</si>
  <si>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</si>
  <si>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</si>
  <si>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</si>
  <si>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</si>
  <si>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</si>
  <si>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</si>
  <si>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</si>
  <si>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</si>
  <si>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</si>
  <si>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</si>
  <si>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</si>
  <si>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</si>
  <si>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</si>
  <si>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</si>
  <si>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</si>
  <si>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</si>
  <si>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</si>
  <si>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</si>
  <si>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</si>
  <si>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</si>
  <si>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</si>
  <si>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</si>
  <si>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</si>
  <si>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</si>
  <si>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</si>
  <si>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</si>
  <si>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</si>
  <si>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</si>
  <si>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</si>
  <si>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</si>
  <si>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</si>
  <si>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</si>
  <si>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</si>
  <si>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</si>
  <si>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</si>
  <si>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</si>
  <si>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</si>
  <si>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</si>
  <si>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</si>
  <si>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</si>
  <si>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</si>
  <si>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</si>
  <si>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</si>
  <si>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</si>
  <si>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</si>
  <si>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</si>
  <si>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</si>
  <si>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</si>
  <si>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</si>
  <si>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</si>
  <si>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</si>
  <si>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</si>
  <si>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</si>
  <si>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</si>
  <si>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</si>
  <si>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</si>
  <si>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</si>
  <si>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</si>
  <si>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</si>
  <si>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</si>
  <si>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</si>
  <si>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</si>
  <si>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</si>
  <si>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</si>
  <si>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</si>
  <si>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</si>
  <si>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</si>
  <si>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</si>
  <si>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</si>
  <si>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</si>
  <si>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</si>
  <si>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</si>
  <si>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</si>
  <si>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</si>
  <si>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</si>
  <si>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</si>
  <si>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</si>
  <si>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</si>
  <si>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</si>
  <si>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</si>
  <si>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</si>
  <si>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</si>
  <si>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</si>
  <si>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</si>
  <si>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</si>
  <si>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</si>
  <si>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</si>
  <si>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</si>
  <si>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</si>
  <si>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</si>
  <si>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</si>
  <si>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</si>
  <si>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</si>
  <si>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</si>
  <si>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</si>
  <si>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</si>
  <si>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</si>
  <si>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</si>
  <si>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</si>
  <si>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</si>
  <si>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</si>
  <si>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</si>
  <si>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</si>
  <si>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</si>
  <si>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</si>
  <si>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</si>
  <si>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</si>
  <si>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</si>
  <si>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</si>
  <si>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</si>
  <si>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</si>
  <si>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</si>
  <si>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</si>
  <si>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</si>
  <si>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</si>
  <si>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</si>
  <si>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</si>
  <si>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</si>
  <si>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</si>
  <si>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</si>
  <si>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</si>
  <si>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</si>
  <si>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</si>
  <si>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</si>
  <si>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</si>
  <si>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</si>
  <si>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</si>
  <si>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</si>
  <si>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</si>
  <si>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</si>
  <si>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</si>
  <si>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</si>
  <si>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</si>
  <si>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</si>
  <si>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</si>
  <si>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</si>
  <si>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</si>
  <si>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</si>
  <si>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</si>
  <si>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</si>
  <si>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</si>
  <si>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</si>
  <si>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</si>
  <si>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</si>
  <si>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</si>
  <si>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</si>
  <si>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</si>
  <si>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</si>
  <si>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</si>
  <si>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</si>
  <si>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</si>
  <si>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</si>
  <si>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</si>
  <si>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</si>
  <si>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</si>
  <si>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</si>
  <si>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</si>
  <si>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</si>
  <si>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</si>
  <si>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</si>
  <si>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</si>
  <si>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</si>
  <si>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</si>
  <si>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</si>
  <si>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</si>
  <si>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</si>
  <si>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</si>
  <si>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</si>
  <si>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</si>
  <si>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</si>
  <si>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</si>
  <si>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</si>
  <si>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</si>
  <si>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</si>
  <si>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</si>
  <si>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</si>
  <si>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</si>
  <si>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</si>
  <si>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</si>
  <si>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</si>
  <si>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</si>
  <si>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</si>
  <si>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</si>
  <si>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</si>
  <si>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</si>
  <si>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</si>
  <si>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</si>
  <si>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</si>
  <si>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</si>
  <si>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</si>
  <si>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</si>
  <si>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</si>
  <si>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</si>
  <si>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</si>
  <si>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</si>
  <si>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</si>
  <si>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</si>
  <si>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</si>
  <si>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</si>
  <si>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</si>
  <si>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</si>
  <si>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</si>
  <si>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</si>
  <si>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</si>
  <si>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</si>
  <si>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</si>
  <si>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</si>
  <si>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</si>
  <si>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</si>
  <si>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</si>
  <si>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</si>
  <si>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</si>
  <si>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</si>
  <si>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</si>
  <si>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</si>
  <si>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</si>
  <si>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</si>
  <si>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</si>
  <si>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</si>
  <si>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</si>
  <si>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</si>
  <si>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</si>
  <si>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</si>
  <si>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</si>
  <si>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</si>
  <si>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</si>
  <si>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</si>
  <si>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</si>
  <si>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</si>
  <si>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</si>
  <si>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</si>
  <si>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</si>
  <si>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</si>
  <si>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</si>
  <si>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</si>
  <si>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</si>
  <si>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</si>
  <si>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</si>
  <si>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</si>
  <si>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</si>
  <si>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</si>
  <si>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</si>
  <si>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</si>
  <si>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</si>
  <si>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</si>
  <si>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</si>
  <si>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</si>
  <si>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</si>
  <si>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</si>
  <si>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</si>
  <si>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</si>
  <si>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</si>
  <si>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</si>
  <si>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</si>
  <si>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</si>
  <si>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</si>
  <si>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</si>
  <si>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</si>
  <si>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</si>
  <si>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</si>
  <si>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</si>
  <si>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</si>
  <si>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</si>
  <si>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</si>
  <si>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</si>
  <si>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</si>
  <si>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</si>
  <si>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</si>
  <si>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</si>
  <si>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</si>
  <si>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</si>
  <si>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</si>
  <si>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</si>
  <si>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</si>
  <si>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</si>
  <si>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</si>
  <si>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</si>
  <si>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</si>
  <si>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</si>
  <si>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</si>
  <si>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</si>
  <si>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</si>
  <si>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</si>
  <si>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</si>
  <si>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</si>
  <si>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</si>
  <si>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</si>
  <si>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</si>
  <si>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</si>
  <si>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</si>
  <si>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</si>
  <si>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</si>
  <si>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</si>
  <si>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</si>
  <si>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</si>
  <si>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</si>
  <si>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</si>
  <si>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</si>
  <si>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</si>
  <si>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</si>
  <si>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</si>
  <si>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</si>
  <si>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</si>
  <si>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</si>
  <si>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</si>
  <si>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</si>
  <si>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</si>
  <si>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</si>
  <si>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</si>
  <si>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</si>
  <si>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</si>
  <si>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</si>
  <si>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</si>
  <si>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</si>
  <si>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</si>
  <si>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</si>
  <si>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</si>
  <si>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</si>
  <si>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</si>
  <si>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</si>
  <si>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</si>
  <si>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</si>
  <si>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</si>
  <si>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</si>
  <si>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</si>
  <si>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</si>
  <si>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</si>
  <si>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</si>
  <si>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</si>
  <si>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</si>
  <si>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</si>
  <si>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</si>
  <si>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</si>
  <si>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</si>
  <si>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</si>
  <si>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</si>
  <si>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</si>
  <si>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</si>
  <si>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</si>
  <si>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</si>
  <si>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</si>
  <si>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</si>
  <si>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</si>
  <si>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</si>
  <si>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</si>
  <si>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</si>
  <si>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</si>
  <si>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</si>
  <si>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</si>
  <si>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</si>
  <si>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</si>
  <si>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</si>
  <si>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</si>
  <si>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</si>
  <si>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</si>
  <si>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</si>
  <si>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</si>
  <si>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</si>
  <si>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</si>
  <si>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</si>
  <si>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</si>
  <si>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</si>
  <si>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</si>
  <si>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</si>
  <si>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</si>
  <si>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</si>
  <si>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</si>
  <si>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</si>
  <si>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</si>
  <si>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</si>
  <si>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</si>
  <si>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</si>
  <si>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</si>
  <si>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</si>
  <si>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</si>
  <si>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</si>
  <si>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</si>
  <si>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</si>
  <si>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</si>
  <si>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</si>
  <si>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</si>
  <si>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</si>
  <si>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</si>
  <si>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</si>
  <si>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</si>
  <si>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</si>
  <si>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</si>
  <si>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</si>
  <si>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</si>
  <si>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</si>
  <si>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</si>
  <si>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</si>
  <si>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</si>
  <si>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</si>
  <si>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</si>
  <si>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</si>
  <si>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</si>
  <si>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</si>
  <si>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</si>
  <si>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</si>
  <si>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</si>
  <si>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</si>
  <si>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</si>
  <si>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</si>
  <si>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</si>
  <si>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</si>
  <si>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</si>
  <si>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</si>
  <si>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</si>
  <si>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</si>
  <si>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</si>
  <si>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</si>
  <si>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</si>
  <si>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</si>
  <si>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</si>
  <si>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</si>
  <si>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</si>
  <si>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</si>
  <si>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</si>
  <si>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</si>
  <si>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</si>
  <si>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</si>
  <si>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</si>
  <si>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</si>
  <si>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</si>
  <si>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</si>
  <si>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</si>
  <si>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</si>
  <si>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</si>
  <si>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</si>
  <si>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</si>
  <si>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</si>
  <si>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</si>
  <si>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</si>
  <si>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</si>
  <si>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</si>
  <si>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</si>
  <si>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</si>
  <si>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</si>
  <si>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</si>
  <si>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</si>
  <si>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</si>
  <si>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</si>
  <si>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</si>
  <si>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</si>
  <si>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</si>
  <si>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</si>
  <si>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</si>
  <si>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</si>
  <si>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</si>
  <si>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</si>
  <si>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</si>
  <si>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</si>
  <si>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</si>
  <si>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</si>
  <si>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</si>
  <si>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</si>
  <si>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</si>
  <si>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</si>
  <si>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</si>
  <si>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</si>
  <si>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</si>
  <si>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</si>
  <si>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</si>
  <si>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</si>
  <si>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</si>
  <si>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</si>
  <si>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</si>
  <si>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</si>
  <si>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</si>
  <si>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</si>
  <si>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</si>
  <si>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</si>
  <si>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</si>
  <si>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</si>
  <si>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</si>
  <si>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</si>
  <si>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</si>
  <si>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</si>
  <si>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</si>
  <si>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</si>
  <si>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</si>
  <si>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</si>
  <si>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</si>
  <si>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</si>
  <si>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</si>
  <si>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</si>
  <si>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</si>
  <si>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</si>
  <si>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</si>
  <si>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</si>
  <si>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</si>
  <si>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</si>
  <si>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</si>
  <si>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</si>
  <si>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</si>
  <si>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</si>
  <si>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</si>
  <si>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</si>
  <si>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</si>
  <si>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</si>
  <si>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</si>
  <si>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</si>
  <si>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</si>
  <si>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</si>
  <si>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</si>
  <si>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</si>
  <si>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</si>
  <si>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</si>
  <si>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</si>
  <si>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</si>
  <si>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</si>
  <si>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</si>
  <si>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</si>
  <si>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</si>
  <si>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</si>
  <si>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</si>
  <si>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</si>
  <si>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</si>
  <si>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</si>
  <si>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</si>
  <si>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</si>
  <si>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</si>
  <si>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</si>
  <si>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</si>
  <si>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</si>
  <si>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</si>
  <si>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</si>
  <si>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</si>
  <si>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</si>
  <si>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</si>
  <si>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</si>
  <si>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</si>
  <si>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</si>
  <si>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</si>
  <si>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</si>
  <si>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</si>
  <si>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</si>
  <si>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</si>
  <si>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</si>
  <si>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</si>
  <si>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</si>
  <si>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</si>
  <si>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</si>
  <si>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</si>
  <si>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</si>
  <si>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</si>
  <si>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</si>
  <si>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</si>
  <si>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</si>
  <si>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</si>
  <si>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</si>
  <si>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</si>
  <si>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</si>
  <si>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</si>
  <si>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</si>
  <si>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</si>
  <si>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</si>
  <si>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</si>
  <si>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</si>
  <si>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</si>
  <si>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</si>
  <si>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</si>
  <si>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</si>
  <si>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</si>
  <si>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</si>
  <si>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</si>
  <si>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</si>
  <si>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</si>
  <si>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</si>
  <si>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</si>
  <si>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</si>
  <si>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</si>
  <si>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</si>
  <si>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</si>
  <si>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</si>
  <si>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</si>
  <si>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</si>
  <si>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</si>
  <si>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</si>
  <si>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</si>
  <si>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</si>
  <si>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</si>
  <si>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</si>
  <si>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</si>
  <si>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</si>
  <si>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</si>
  <si>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</si>
  <si>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</si>
  <si>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</si>
  <si>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</si>
  <si>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</si>
  <si>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</si>
  <si>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</si>
  <si>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</si>
  <si>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</si>
  <si>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</si>
  <si>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</si>
  <si>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</si>
  <si>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</si>
  <si>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</si>
  <si>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</si>
  <si>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</si>
  <si>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</si>
  <si>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</si>
  <si>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</si>
  <si>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</si>
  <si>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</si>
  <si>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</si>
  <si>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</si>
  <si>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</si>
  <si>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</si>
  <si>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</si>
  <si>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</si>
  <si>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</si>
  <si>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</si>
  <si>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</si>
  <si>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</si>
  <si>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</si>
  <si>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</si>
  <si>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</si>
  <si>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</si>
  <si>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</si>
  <si>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</si>
  <si>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</si>
  <si>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</si>
  <si>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</si>
  <si>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</si>
  <si>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</si>
  <si>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</si>
  <si>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</si>
  <si>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</si>
  <si>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</si>
  <si>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</si>
  <si>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</si>
  <si>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</si>
  <si>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</si>
  <si>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</si>
  <si>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</si>
  <si>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</si>
  <si>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</si>
  <si>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</si>
  <si>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</si>
  <si>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</si>
  <si>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</si>
  <si>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</si>
  <si>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</si>
  <si>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</si>
  <si>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</si>
  <si>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</si>
  <si>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</si>
  <si>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</si>
  <si>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</si>
  <si>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</si>
  <si>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</si>
  <si>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</si>
  <si>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</si>
  <si>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</si>
  <si>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</si>
  <si>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</si>
  <si>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</si>
  <si>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</si>
  <si>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</si>
  <si>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</si>
  <si>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</si>
  <si>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</si>
  <si>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</si>
  <si>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</si>
  <si>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</si>
  <si>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</si>
  <si>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</si>
  <si>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</si>
  <si>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</si>
  <si>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</si>
  <si>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</si>
  <si>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</si>
  <si>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</si>
  <si>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</si>
  <si>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</si>
  <si>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</si>
  <si>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</si>
  <si>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</si>
  <si>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</si>
  <si>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</si>
  <si>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</si>
  <si>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</si>
  <si>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</si>
  <si>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</si>
  <si>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</si>
  <si>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</si>
  <si>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</si>
  <si>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</si>
  <si>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</si>
  <si>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</si>
  <si>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</si>
  <si>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</si>
  <si>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</si>
  <si>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</si>
  <si>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</si>
  <si>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</si>
  <si>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</si>
  <si>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</si>
  <si>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</si>
  <si>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</si>
  <si>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</si>
  <si>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</si>
  <si>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</si>
  <si>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</si>
  <si>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</si>
  <si>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</si>
  <si>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</si>
  <si>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</si>
  <si>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</si>
  <si>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</si>
  <si>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</si>
  <si>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</si>
  <si>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</si>
  <si>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</si>
  <si>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</si>
  <si>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</si>
  <si>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</si>
  <si>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</si>
  <si>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</si>
  <si>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</si>
  <si>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</si>
  <si>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</si>
  <si>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</si>
  <si>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</si>
  <si>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</si>
  <si>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</si>
  <si>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</si>
  <si>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</si>
  <si>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</si>
  <si>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</si>
  <si>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</si>
  <si>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</si>
  <si>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</si>
  <si>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</si>
  <si>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</si>
  <si>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</si>
  <si>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</si>
  <si>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</si>
  <si>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</si>
  <si>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</si>
  <si>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</si>
  <si>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</si>
  <si>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</si>
  <si>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</si>
  <si>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</si>
  <si>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</si>
  <si>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</si>
  <si>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</si>
  <si>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</si>
  <si>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</si>
  <si>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</si>
  <si>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</si>
  <si>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</si>
  <si>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</si>
  <si>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</si>
  <si>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</si>
  <si>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</si>
  <si>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</si>
  <si>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</si>
  <si>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</si>
  <si>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</si>
  <si>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</si>
  <si>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</si>
  <si>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</si>
  <si>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</si>
  <si>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</si>
  <si>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</si>
  <si>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</si>
  <si>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</si>
  <si>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</si>
  <si>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</si>
  <si>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</si>
  <si>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</si>
  <si>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</si>
  <si>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</si>
  <si>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</si>
  <si>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</si>
  <si>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</si>
  <si>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</si>
  <si>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</si>
  <si>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</si>
  <si>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</si>
  <si>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</si>
  <si>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</si>
  <si>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</si>
  <si>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</si>
  <si>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</si>
  <si>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</si>
  <si>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</si>
  <si>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</si>
  <si>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</si>
  <si>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</si>
  <si>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</si>
  <si>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</si>
  <si>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</si>
  <si>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</si>
  <si>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</si>
  <si>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</si>
  <si>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</si>
  <si>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</si>
  <si>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</si>
  <si>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</si>
  <si>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</si>
  <si>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</si>
  <si>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</si>
  <si>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</si>
  <si>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</si>
  <si>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</si>
  <si>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</si>
  <si>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</si>
  <si>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</si>
  <si>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</si>
  <si>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</si>
  <si>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</si>
  <si>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</si>
  <si>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</si>
  <si>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</si>
  <si>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</si>
  <si>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</si>
  <si>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</si>
  <si>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</si>
  <si>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</si>
  <si>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</si>
  <si>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</si>
  <si>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</si>
  <si>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</si>
  <si>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</si>
  <si>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</si>
  <si>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</si>
  <si>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</si>
  <si>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</si>
  <si>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</si>
  <si>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</si>
  <si>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</si>
  <si>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</si>
  <si>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</si>
  <si>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</si>
  <si>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</si>
  <si>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</si>
  <si>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</si>
  <si>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</si>
  <si>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</si>
  <si>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</si>
  <si>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</si>
  <si>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</si>
  <si>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</si>
  <si>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</si>
  <si>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</si>
  <si>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</si>
  <si>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</si>
  <si>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</si>
  <si>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</si>
  <si>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</si>
  <si>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</si>
  <si>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</si>
  <si>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</si>
  <si>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</si>
  <si>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</si>
  <si>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</si>
  <si>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</si>
  <si>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</si>
  <si>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</si>
  <si>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</si>
  <si>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</si>
  <si>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</si>
  <si>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</si>
  <si>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</si>
  <si>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</si>
  <si>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</si>
  <si>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</si>
  <si>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</si>
  <si>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</si>
  <si>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</si>
  <si>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</si>
  <si>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</si>
  <si>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</si>
  <si>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</si>
  <si>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</si>
  <si>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</si>
  <si>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</si>
  <si>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</si>
  <si>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</si>
  <si>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</si>
  <si>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</si>
  <si>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</si>
  <si>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</si>
  <si>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</si>
  <si>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</si>
  <si>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</si>
  <si>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</si>
  <si>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</si>
  <si>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</si>
  <si>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</si>
  <si>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</si>
  <si>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</si>
  <si>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</si>
  <si>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</si>
  <si>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</si>
  <si>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</si>
  <si>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</si>
  <si>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</si>
  <si>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</si>
  <si>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</si>
  <si>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</si>
  <si>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</si>
  <si>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</si>
  <si>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</si>
  <si>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</si>
  <si>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</si>
  <si>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</si>
  <si>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</si>
  <si>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</si>
  <si>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</si>
  <si>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</si>
  <si>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</si>
  <si>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</si>
  <si>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</si>
  <si>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</si>
  <si>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</si>
  <si>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</si>
  <si>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</si>
  <si>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</si>
  <si>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</si>
  <si>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</si>
  <si>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</si>
  <si>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</si>
  <si>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</si>
  <si>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</si>
  <si>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</si>
  <si>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</si>
  <si>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</si>
  <si>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</si>
  <si>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</si>
  <si>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</si>
  <si>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</si>
  <si>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</si>
  <si>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</si>
  <si>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</si>
  <si>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</si>
  <si>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</si>
  <si>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</si>
  <si>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</si>
  <si>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</si>
  <si>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</si>
  <si>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</si>
  <si>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</si>
  <si>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</si>
  <si>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</si>
  <si>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</si>
  <si>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</si>
  <si>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</si>
  <si>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</si>
  <si>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</si>
  <si>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</si>
  <si>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</si>
  <si>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</si>
  <si>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</si>
  <si>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</si>
  <si>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</si>
  <si>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</si>
  <si>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</si>
  <si>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</si>
  <si>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</si>
  <si>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</si>
  <si>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</si>
  <si>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</si>
  <si>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</si>
  <si>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</si>
  <si>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</si>
  <si>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</si>
  <si>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</si>
  <si>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</si>
  <si>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</si>
  <si>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</si>
  <si>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</si>
  <si>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</si>
  <si>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</si>
  <si>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</si>
  <si>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</si>
  <si>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</si>
  <si>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</si>
  <si>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</si>
  <si>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</si>
  <si>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</si>
  <si>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</si>
  <si>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</si>
  <si>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</si>
  <si>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</si>
  <si>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</si>
  <si>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</si>
  <si>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</si>
  <si>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</si>
  <si>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</si>
  <si>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</si>
  <si>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</si>
  <si>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</si>
  <si>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</si>
  <si>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</si>
  <si>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</si>
  <si>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</si>
  <si>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</si>
  <si>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</si>
  <si>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</si>
  <si>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</si>
  <si>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</si>
  <si>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</si>
  <si>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</si>
  <si>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</si>
  <si>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</si>
  <si>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</si>
  <si>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</si>
  <si>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</si>
  <si>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</si>
  <si>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</si>
  <si>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</si>
  <si>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</si>
  <si>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</si>
  <si>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</si>
  <si>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</si>
  <si>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</si>
  <si>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</si>
  <si>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</si>
  <si>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</si>
  <si>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</si>
  <si>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</si>
  <si>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</si>
  <si>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</si>
  <si>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</si>
  <si>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</si>
  <si>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</si>
  <si>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</si>
  <si>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</si>
  <si>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</si>
  <si>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</si>
  <si>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</si>
  <si>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</si>
  <si>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</si>
  <si>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</si>
  <si>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</si>
  <si>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</si>
  <si>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</si>
  <si>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</si>
  <si>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</si>
  <si>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</si>
  <si>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</si>
  <si>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</si>
  <si>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</si>
  <si>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</si>
  <si>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</si>
  <si>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</si>
  <si>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</si>
  <si>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</si>
  <si>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</si>
  <si>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</si>
  <si>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</si>
  <si>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</si>
  <si>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</si>
  <si>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</si>
  <si>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</si>
  <si>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</si>
  <si>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</si>
  <si>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</si>
  <si>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</si>
  <si>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</si>
  <si>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</si>
  <si>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</si>
  <si>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</si>
  <si>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</si>
  <si>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</si>
  <si>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</si>
  <si>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</si>
  <si>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</si>
  <si>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</si>
  <si>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</si>
  <si>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</si>
  <si>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</si>
  <si>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</si>
  <si>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</si>
  <si>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</si>
  <si>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</si>
  <si>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</si>
  <si>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</si>
  <si>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</si>
  <si>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</si>
  <si>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</si>
  <si>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</si>
  <si>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</si>
  <si>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</si>
  <si>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</si>
  <si>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</si>
  <si>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</si>
  <si>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</si>
  <si>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</si>
  <si>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</si>
  <si>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</si>
  <si>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</si>
  <si>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</si>
  <si>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</si>
  <si>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</si>
  <si>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</si>
  <si>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</si>
  <si>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</si>
  <si>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</si>
  <si>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</si>
  <si>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</si>
  <si>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</si>
  <si>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</si>
  <si>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</si>
  <si>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</si>
  <si>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</si>
  <si>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</si>
  <si>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</si>
  <si>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</si>
  <si>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</si>
  <si>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</si>
  <si>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</si>
  <si>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</si>
  <si>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</si>
  <si>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</si>
  <si>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</si>
  <si>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</si>
  <si>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</si>
  <si>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</si>
  <si>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</si>
  <si>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</si>
  <si>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</si>
  <si>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</si>
  <si>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</si>
  <si>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</si>
  <si>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</si>
  <si>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</si>
  <si>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</si>
  <si>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</si>
  <si>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</si>
  <si>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</si>
  <si>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</si>
  <si>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</si>
  <si>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</si>
  <si>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</si>
  <si>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</si>
  <si>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</si>
  <si>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</si>
  <si>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</si>
  <si>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</si>
  <si>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</si>
  <si>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</si>
  <si>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</si>
  <si>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</si>
  <si>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</si>
  <si>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</si>
  <si>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</si>
  <si>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</si>
  <si>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</si>
  <si>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</si>
  <si>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</si>
  <si>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</si>
  <si>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</si>
  <si>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</si>
  <si>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</si>
  <si>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</si>
  <si>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</si>
  <si>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</si>
  <si>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</si>
  <si>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</si>
  <si>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</si>
  <si>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</si>
  <si>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</si>
  <si>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</si>
  <si>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</si>
  <si>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</si>
  <si>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</si>
  <si>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</si>
  <si>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</si>
  <si>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</si>
  <si>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</si>
  <si>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</si>
  <si>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</si>
  <si>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</si>
  <si>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</si>
  <si>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</si>
  <si>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</si>
  <si>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</si>
  <si>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</si>
  <si>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</si>
  <si>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</si>
  <si>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</si>
  <si>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</si>
  <si>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</si>
  <si>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</si>
  <si>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</si>
  <si>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</si>
  <si>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</si>
  <si>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</si>
  <si>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</si>
  <si>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</si>
  <si>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</si>
  <si>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</si>
  <si>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</si>
  <si>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</si>
  <si>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</si>
  <si>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</si>
  <si>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</si>
  <si>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</si>
  <si>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</si>
  <si>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</si>
  <si>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</si>
  <si>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</si>
  <si>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</si>
  <si>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</si>
  <si>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</si>
  <si>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</si>
  <si>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</si>
  <si>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</si>
  <si>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</si>
  <si>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</si>
  <si>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</si>
  <si>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</si>
  <si>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</si>
  <si>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</si>
  <si>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</si>
  <si>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</si>
  <si>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</si>
  <si>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</si>
  <si>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</si>
  <si>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</si>
  <si>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</si>
  <si>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</si>
  <si>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</si>
  <si>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</si>
  <si>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</si>
  <si>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</si>
  <si>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</si>
  <si>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</si>
  <si>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</si>
  <si>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</si>
  <si>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</si>
  <si>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</si>
  <si>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</si>
  <si>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</si>
  <si>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</si>
  <si>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</si>
  <si>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</si>
  <si>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</si>
  <si>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</si>
  <si>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</si>
  <si>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</si>
  <si>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</si>
  <si>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</si>
  <si>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</si>
  <si>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</si>
  <si>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</si>
  <si>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</si>
  <si>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</si>
  <si>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</si>
  <si>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</si>
  <si>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</si>
  <si>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</si>
  <si>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</si>
  <si>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</si>
  <si>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</si>
  <si>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</si>
  <si>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</si>
  <si>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</si>
  <si>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</si>
  <si>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</si>
  <si>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</si>
  <si>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</si>
  <si>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</si>
  <si>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</si>
  <si>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</si>
  <si>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</si>
  <si>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</si>
  <si>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</si>
  <si>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</si>
  <si>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</si>
  <si>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</si>
  <si>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</si>
  <si>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</si>
  <si>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</si>
  <si>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</si>
  <si>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</si>
  <si>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</si>
  <si>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</si>
  <si>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</si>
  <si>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</si>
  <si>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</si>
  <si>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</si>
  <si>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</si>
  <si>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</si>
  <si>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</si>
  <si>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</si>
  <si>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</si>
  <si>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</si>
  <si>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</si>
  <si>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</si>
  <si>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</si>
  <si>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</si>
  <si>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</si>
  <si>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</si>
  <si>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</si>
  <si>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</si>
  <si>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</si>
  <si>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</si>
  <si>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</si>
  <si>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</si>
  <si>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</si>
  <si>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</si>
  <si>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</si>
  <si>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</si>
  <si>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</si>
  <si>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</si>
  <si>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</si>
  <si>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</si>
  <si>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</si>
  <si>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</si>
  <si>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</si>
  <si>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</si>
  <si>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</si>
  <si>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</si>
  <si>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</si>
  <si>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</si>
  <si>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</si>
  <si>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</si>
  <si>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</si>
  <si>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</si>
  <si>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</si>
  <si>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</si>
  <si>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</si>
  <si>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</si>
  <si>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</si>
  <si>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</si>
  <si>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</si>
  <si>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</si>
  <si>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</si>
  <si>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</si>
  <si>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</si>
  <si>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</si>
  <si>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</si>
  <si>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</si>
  <si>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</si>
  <si>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</si>
  <si>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</si>
  <si>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</si>
  <si>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</si>
  <si>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</si>
  <si>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</si>
  <si>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</si>
  <si>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</si>
  <si>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</si>
  <si>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</si>
  <si>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</si>
  <si>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</si>
  <si>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</si>
  <si>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</si>
  <si>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</si>
  <si>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</si>
  <si>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</si>
  <si>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</si>
  <si>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</si>
  <si>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</si>
  <si>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</si>
  <si>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</si>
  <si>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</si>
  <si>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</si>
  <si>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</si>
  <si>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</si>
  <si>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</si>
  <si>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</si>
  <si>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</si>
  <si>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</si>
  <si>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</si>
  <si>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</si>
  <si>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</si>
  <si>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</si>
  <si>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</si>
  <si>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</si>
  <si>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</si>
  <si>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</si>
  <si>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</si>
  <si>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</si>
  <si>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</si>
  <si>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</si>
  <si>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</si>
  <si>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</si>
  <si>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</si>
  <si>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</si>
  <si>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</si>
  <si>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</si>
  <si>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</si>
  <si>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</si>
  <si>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</si>
  <si>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</si>
  <si>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</si>
  <si>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</si>
  <si>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</si>
  <si>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</si>
  <si>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</si>
  <si>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</si>
  <si>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</si>
  <si>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</si>
  <si>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</si>
  <si>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</si>
  <si>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</si>
  <si>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</si>
  <si>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</si>
  <si>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</si>
  <si>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</si>
  <si>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</si>
  <si>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</si>
  <si>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</si>
  <si>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</si>
  <si>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</si>
  <si>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</si>
  <si>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</si>
  <si>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</si>
  <si>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</si>
  <si>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</si>
  <si>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</si>
  <si>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</si>
  <si>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</si>
  <si>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</si>
  <si>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</si>
  <si>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</si>
  <si>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</si>
  <si>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</si>
  <si>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</si>
  <si>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</si>
  <si>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</si>
  <si>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</si>
  <si>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</si>
  <si>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</si>
  <si>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وغدیر 592782 تا</t>
  </si>
  <si>
    <t xml:space="preserve">پارس 9893 تا </t>
  </si>
  <si>
    <t>زاگرس 5410 تا</t>
  </si>
  <si>
    <t>وغدیر 153147 تا 1207.9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</si>
</sst>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55" zoomScaleNormal="100" workbookViewId="0">
      <selection activeCell="Q80" sqref="Q8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5678</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5576</v>
      </c>
      <c r="P75" s="18">
        <v>300000</v>
      </c>
      <c r="Q75" s="99">
        <v>3</v>
      </c>
      <c r="R75" s="99"/>
    </row>
    <row r="76" spans="1:21">
      <c r="A76" s="96"/>
      <c r="B76" s="96"/>
      <c r="E76" s="96"/>
      <c r="F76" s="96"/>
      <c r="O76" s="99" t="s">
        <v>5582</v>
      </c>
      <c r="P76" s="18">
        <v>-300000</v>
      </c>
      <c r="Q76" s="99">
        <v>9</v>
      </c>
      <c r="R76" s="99"/>
    </row>
    <row r="77" spans="1:21">
      <c r="A77" s="96"/>
      <c r="B77" s="96"/>
      <c r="E77" s="96"/>
      <c r="F77" s="96"/>
      <c r="O77" s="99" t="s">
        <v>5607</v>
      </c>
      <c r="P77" s="18">
        <v>1000000</v>
      </c>
      <c r="Q77" s="99">
        <v>24</v>
      </c>
      <c r="R77" s="99"/>
      <c r="U77" t="s">
        <v>25</v>
      </c>
    </row>
    <row r="78" spans="1:21">
      <c r="A78" s="96"/>
      <c r="B78" s="96"/>
      <c r="E78" s="96"/>
      <c r="F78" s="96"/>
      <c r="M78" t="s">
        <v>25</v>
      </c>
      <c r="O78" s="99" t="s">
        <v>5666</v>
      </c>
      <c r="P78" s="18">
        <v>-1380100</v>
      </c>
      <c r="Q78" s="99">
        <v>11</v>
      </c>
      <c r="R78" s="99"/>
    </row>
    <row r="79" spans="1:21">
      <c r="A79" s="96"/>
      <c r="B79" s="96"/>
      <c r="E79" s="96"/>
      <c r="F79" s="96"/>
      <c r="L79" s="114"/>
      <c r="O79" s="99" t="s">
        <v>5691</v>
      </c>
      <c r="P79" s="18">
        <v>1280015</v>
      </c>
      <c r="Q79" s="99">
        <v>1</v>
      </c>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899915</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5557</v>
      </c>
    </row>
    <row r="128" spans="4:10">
      <c r="D128" s="18">
        <v>-2000000</v>
      </c>
      <c r="E128" s="251" t="s">
        <v>5571</v>
      </c>
      <c r="I128" t="s">
        <v>25</v>
      </c>
    </row>
    <row r="129" spans="4:5">
      <c r="D129" s="18">
        <v>-250000</v>
      </c>
      <c r="E129" s="251" t="s">
        <v>5581</v>
      </c>
    </row>
    <row r="130" spans="4:5">
      <c r="D130" s="18">
        <v>-550000</v>
      </c>
      <c r="E130" s="251" t="s">
        <v>5595</v>
      </c>
    </row>
    <row r="131" spans="4:5">
      <c r="D131" s="18">
        <v>210000</v>
      </c>
      <c r="E131" s="251" t="s">
        <v>5596</v>
      </c>
    </row>
    <row r="132" spans="4:5">
      <c r="D132" s="18">
        <v>-724200</v>
      </c>
      <c r="E132" s="251" t="s">
        <v>5640</v>
      </c>
    </row>
    <row r="133" spans="4:5">
      <c r="D133" s="18">
        <v>-400000</v>
      </c>
      <c r="E133" s="251" t="s">
        <v>5652</v>
      </c>
    </row>
    <row r="134" spans="4:5">
      <c r="D134" s="18">
        <v>-550000</v>
      </c>
      <c r="E134" s="251" t="s">
        <v>5667</v>
      </c>
    </row>
    <row r="135" spans="4:5">
      <c r="D135" s="18">
        <v>-2167000</v>
      </c>
      <c r="E135" s="251" t="s">
        <v>5676</v>
      </c>
    </row>
    <row r="136" spans="4:5">
      <c r="D136" s="18">
        <v>-125000</v>
      </c>
      <c r="E136" s="251" t="s">
        <v>5685</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5563</v>
      </c>
      <c r="B404" s="113">
        <v>5032773</v>
      </c>
      <c r="C404" s="99">
        <v>0</v>
      </c>
      <c r="D404" s="99">
        <f t="shared" si="31"/>
        <v>47</v>
      </c>
      <c r="E404" s="99">
        <f t="shared" si="32"/>
        <v>0</v>
      </c>
      <c r="F404" s="99">
        <f t="shared" si="33"/>
        <v>236540331</v>
      </c>
      <c r="G404" s="99"/>
    </row>
    <row r="405" spans="1:15">
      <c r="A405" s="99" t="s">
        <v>5563</v>
      </c>
      <c r="B405" s="113">
        <v>-5000000</v>
      </c>
      <c r="C405" s="99">
        <v>13</v>
      </c>
      <c r="D405" s="99">
        <f t="shared" si="31"/>
        <v>47</v>
      </c>
      <c r="E405" s="99">
        <f t="shared" si="32"/>
        <v>1</v>
      </c>
      <c r="F405" s="99">
        <f t="shared" si="33"/>
        <v>-230000000</v>
      </c>
      <c r="G405" s="99"/>
    </row>
    <row r="406" spans="1:15">
      <c r="A406" s="99" t="s">
        <v>5608</v>
      </c>
      <c r="B406" s="113">
        <v>1200000</v>
      </c>
      <c r="C406" s="99">
        <v>1</v>
      </c>
      <c r="D406" s="99">
        <f t="shared" si="31"/>
        <v>34</v>
      </c>
      <c r="E406" s="99">
        <f t="shared" si="32"/>
        <v>0</v>
      </c>
      <c r="F406" s="99">
        <f t="shared" si="33"/>
        <v>40800000</v>
      </c>
      <c r="G406" s="99"/>
    </row>
    <row r="407" spans="1:15">
      <c r="A407" s="99" t="s">
        <v>5583</v>
      </c>
      <c r="B407" s="113">
        <v>-1200000</v>
      </c>
      <c r="C407" s="99">
        <v>0</v>
      </c>
      <c r="D407" s="99">
        <f t="shared" si="31"/>
        <v>33</v>
      </c>
      <c r="E407" s="99">
        <f t="shared" si="32"/>
        <v>0</v>
      </c>
      <c r="F407" s="99">
        <f t="shared" si="33"/>
        <v>-39600000</v>
      </c>
      <c r="G407" s="99"/>
      <c r="O407" t="s">
        <v>25</v>
      </c>
    </row>
    <row r="408" spans="1:15">
      <c r="A408" s="99" t="s">
        <v>5583</v>
      </c>
      <c r="B408" s="113">
        <v>-784</v>
      </c>
      <c r="C408" s="99">
        <v>1</v>
      </c>
      <c r="D408" s="99">
        <f t="shared" si="31"/>
        <v>33</v>
      </c>
      <c r="E408" s="99">
        <f t="shared" si="32"/>
        <v>0</v>
      </c>
      <c r="F408" s="99">
        <f t="shared" si="33"/>
        <v>-25872</v>
      </c>
      <c r="G408" s="99" t="s">
        <v>5609</v>
      </c>
    </row>
    <row r="409" spans="1:15">
      <c r="A409" s="99" t="s">
        <v>5664</v>
      </c>
      <c r="B409" s="113">
        <v>-37927</v>
      </c>
      <c r="C409" s="99">
        <v>30</v>
      </c>
      <c r="D409" s="99">
        <f t="shared" si="31"/>
        <v>32</v>
      </c>
      <c r="E409" s="99">
        <f t="shared" si="32"/>
        <v>1</v>
      </c>
      <c r="F409" s="99">
        <f t="shared" si="33"/>
        <v>-1175737</v>
      </c>
      <c r="G409" s="99"/>
    </row>
    <row r="410" spans="1:15">
      <c r="A410" s="99" t="s">
        <v>5666</v>
      </c>
      <c r="B410" s="113">
        <v>5000000</v>
      </c>
      <c r="C410" s="99">
        <v>0</v>
      </c>
      <c r="D410" s="99">
        <f t="shared" si="31"/>
        <v>2</v>
      </c>
      <c r="E410" s="99">
        <f t="shared" si="32"/>
        <v>0</v>
      </c>
      <c r="F410" s="99">
        <f t="shared" si="33"/>
        <v>10000000</v>
      </c>
      <c r="G410" s="99"/>
    </row>
    <row r="411" spans="1:15">
      <c r="A411" s="99" t="s">
        <v>5666</v>
      </c>
      <c r="B411" s="113">
        <v>-1620700</v>
      </c>
      <c r="C411" s="99">
        <v>1</v>
      </c>
      <c r="D411" s="99">
        <f t="shared" si="31"/>
        <v>2</v>
      </c>
      <c r="E411" s="99">
        <f t="shared" si="32"/>
        <v>1</v>
      </c>
      <c r="F411" s="99">
        <f t="shared" si="33"/>
        <v>-1620700</v>
      </c>
      <c r="G411" s="99"/>
    </row>
    <row r="412" spans="1:15">
      <c r="A412" s="99" t="s">
        <v>5669</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I35" zoomScale="85" zoomScaleNormal="85" workbookViewId="0">
      <selection activeCell="S346" sqref="S3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542934818</v>
      </c>
      <c r="O20" s="99" t="s">
        <v>934</v>
      </c>
      <c r="P20" s="99" t="s">
        <v>3925</v>
      </c>
      <c r="Q20" s="169">
        <v>9268987</v>
      </c>
      <c r="R20" s="168" t="s">
        <v>4166</v>
      </c>
      <c r="S20" s="191">
        <f>S87</f>
        <v>626</v>
      </c>
      <c r="T20" s="168" t="s">
        <v>4298</v>
      </c>
      <c r="U20" s="168">
        <v>192.1</v>
      </c>
      <c r="V20" s="168">
        <f>U20*(1+$R$83+$Q$15*S20/36500)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5349790192.3135166</v>
      </c>
      <c r="M21" s="168" t="s">
        <v>4290</v>
      </c>
      <c r="N21" s="113">
        <f>O21*P21</f>
        <v>2242390980</v>
      </c>
      <c r="O21" s="99">
        <v>1412085</v>
      </c>
      <c r="P21" s="185">
        <f>P52</f>
        <v>1588</v>
      </c>
      <c r="Q21" s="169">
        <v>1353959</v>
      </c>
      <c r="R21" s="168" t="s">
        <v>4415</v>
      </c>
      <c r="S21" s="198">
        <f>S20-59</f>
        <v>567</v>
      </c>
      <c r="T21" s="19" t="s">
        <v>4453</v>
      </c>
      <c r="U21" s="168">
        <v>192.2</v>
      </c>
      <c r="V21" s="168">
        <f>U21*(1+$R$83+$Q$15*S21/36500)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5624</v>
      </c>
      <c r="N22" s="113">
        <f>O22*P22</f>
        <v>579348</v>
      </c>
      <c r="O22" s="99">
        <v>57</v>
      </c>
      <c r="P22" s="185">
        <f>P46</f>
        <v>10164</v>
      </c>
      <c r="Q22" s="169">
        <v>1614398</v>
      </c>
      <c r="R22" s="168" t="s">
        <v>4421</v>
      </c>
      <c r="S22" s="168">
        <f>S21-3</f>
        <v>564</v>
      </c>
      <c r="T22" s="19" t="s">
        <v>4486</v>
      </c>
      <c r="U22" s="168">
        <v>184.6</v>
      </c>
      <c r="V22" s="168">
        <f>U22*(1+$R$83+$Q$15*S22/36500)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665021145.60000002</v>
      </c>
      <c r="O23" s="99">
        <v>36288</v>
      </c>
      <c r="P23" s="185">
        <f>P48</f>
        <v>18326.2</v>
      </c>
      <c r="Q23" s="169">
        <v>133576</v>
      </c>
      <c r="R23" s="168" t="s">
        <v>4493</v>
      </c>
      <c r="S23" s="197">
        <f>S22-22</f>
        <v>542</v>
      </c>
      <c r="T23" s="168" t="s">
        <v>4494</v>
      </c>
      <c r="U23" s="168">
        <v>166.2</v>
      </c>
      <c r="V23" s="168">
        <f>U23*(1+$R$83+$Q$15*S23/36500)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5613741807.1135159</v>
      </c>
      <c r="G24" s="95">
        <f t="shared" si="0"/>
        <v>-5333435461.7315769</v>
      </c>
      <c r="H24" s="11"/>
      <c r="I24" s="96"/>
      <c r="J24" s="96"/>
      <c r="K24" s="213"/>
      <c r="L24" s="117"/>
      <c r="M24" s="213" t="s">
        <v>5588</v>
      </c>
      <c r="N24" s="113">
        <f>O24*P24</f>
        <v>6400000</v>
      </c>
      <c r="O24" s="99">
        <v>200</v>
      </c>
      <c r="P24" s="185">
        <f>P51</f>
        <v>32000</v>
      </c>
      <c r="Q24" s="169">
        <v>220803</v>
      </c>
      <c r="R24" s="168" t="s">
        <v>4221</v>
      </c>
      <c r="S24" s="197">
        <f>S23-1</f>
        <v>541</v>
      </c>
      <c r="T24" s="168" t="s">
        <v>4500</v>
      </c>
      <c r="U24" s="168">
        <v>166</v>
      </c>
      <c r="V24" s="168">
        <f>U24*(1+$R$83+$Q$15*S24/36500)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7125756</v>
      </c>
      <c r="O25" s="99">
        <v>407</v>
      </c>
      <c r="P25" s="185">
        <f>P47</f>
        <v>17508</v>
      </c>
      <c r="Q25" s="169">
        <v>1023940</v>
      </c>
      <c r="R25" s="168" t="s">
        <v>4501</v>
      </c>
      <c r="S25" s="197">
        <f>S24-2</f>
        <v>539</v>
      </c>
      <c r="T25" s="168" t="s">
        <v>4507</v>
      </c>
      <c r="U25" s="168">
        <v>160.19999999999999</v>
      </c>
      <c r="V25" s="168">
        <f>U25*(1+$R$83+$Q$15*S25/36500)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U26*(1+$R$83+$Q$15*S26/36500)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U27*(1+$R$83+$Q$15*S27/36500)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30201577.600000001</v>
      </c>
      <c r="O28" s="69">
        <v>1648</v>
      </c>
      <c r="P28" s="99">
        <f>P48</f>
        <v>18326.2</v>
      </c>
      <c r="Q28" s="169">
        <v>1204691</v>
      </c>
      <c r="R28" s="213" t="s">
        <v>4911</v>
      </c>
      <c r="S28" s="197">
        <f>S27-76</f>
        <v>402</v>
      </c>
      <c r="T28" s="213" t="s">
        <v>4912</v>
      </c>
      <c r="U28" s="213">
        <v>218.5</v>
      </c>
      <c r="V28" s="213">
        <f>U28*(1+$R$83+$Q$15*S28/36500)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5624</v>
      </c>
      <c r="N29" s="113">
        <f>O29*P29</f>
        <v>589512</v>
      </c>
      <c r="O29" s="69">
        <v>58</v>
      </c>
      <c r="P29" s="99">
        <f>P46</f>
        <v>10164</v>
      </c>
      <c r="Q29" s="169">
        <v>15011877</v>
      </c>
      <c r="R29" s="213" t="s">
        <v>4915</v>
      </c>
      <c r="S29" s="197">
        <f>S28-3</f>
        <v>399</v>
      </c>
      <c r="T29" s="213" t="s">
        <v>4919</v>
      </c>
      <c r="U29" s="213">
        <v>197.1</v>
      </c>
      <c r="V29" s="213">
        <f>U29*(1+$R$83+$Q$15*S29/36500)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5588</v>
      </c>
      <c r="N30" s="113">
        <f>O30*P30</f>
        <v>6368000</v>
      </c>
      <c r="O30" s="69">
        <v>199</v>
      </c>
      <c r="P30" s="99">
        <f>P51</f>
        <v>32000</v>
      </c>
      <c r="Q30" s="169">
        <v>12803120</v>
      </c>
      <c r="R30" s="213" t="s">
        <v>4928</v>
      </c>
      <c r="S30" s="197">
        <f>S29-5</f>
        <v>394</v>
      </c>
      <c r="T30" s="213" t="s">
        <v>4930</v>
      </c>
      <c r="U30" s="213">
        <v>194.4</v>
      </c>
      <c r="V30" s="213">
        <f>U30*(1+$R$83+$Q$15*S30/36500)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287929808</v>
      </c>
      <c r="O31" s="69">
        <v>181316</v>
      </c>
      <c r="P31" s="99">
        <f>P52</f>
        <v>1588</v>
      </c>
      <c r="Q31" s="169">
        <v>100562</v>
      </c>
      <c r="R31" s="213" t="s">
        <v>4936</v>
      </c>
      <c r="S31" s="197">
        <f>S30-6</f>
        <v>388</v>
      </c>
      <c r="T31" s="213" t="s">
        <v>4937</v>
      </c>
      <c r="U31" s="213">
        <v>190.3</v>
      </c>
      <c r="V31" s="213">
        <f>U31*(1+$R$83+$Q$15*S31/36500)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115753001.45769507</v>
      </c>
      <c r="R32" s="213" t="s">
        <v>4940</v>
      </c>
      <c r="S32" s="197">
        <f>S31-2</f>
        <v>386</v>
      </c>
      <c r="T32" s="213" t="s">
        <v>5690</v>
      </c>
      <c r="U32" s="213">
        <v>195.5</v>
      </c>
      <c r="V32" s="213">
        <f>U32*(1+$R$83+$Q$15*S32/36500)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U33*(1+$R$83+$Q$15*S33/36500)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-W152</f>
        <v>-5349790192.3135166</v>
      </c>
      <c r="O34">
        <f>O23-21926</f>
        <v>14362</v>
      </c>
      <c r="Q34" s="169">
        <v>16396298</v>
      </c>
      <c r="R34" s="213" t="s">
        <v>5494</v>
      </c>
      <c r="S34" s="197">
        <f>S33-156</f>
        <v>71</v>
      </c>
      <c r="T34" s="213" t="s">
        <v>5495</v>
      </c>
      <c r="U34" s="213">
        <v>7121.4</v>
      </c>
      <c r="V34" s="213">
        <f>U34*(1+$R$83+$Q$15*S34/36500)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U35*(1+$R$83+$Q$15*S35/36500)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U36*(1+$R$83+$Q$15*S36/36500)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4984</v>
      </c>
      <c r="L37" s="117">
        <v>-47500000</v>
      </c>
      <c r="M37" s="73"/>
      <c r="N37" s="113"/>
      <c r="P37" t="s">
        <v>25</v>
      </c>
      <c r="Q37" s="169">
        <v>554224</v>
      </c>
      <c r="R37" s="213" t="s">
        <v>5509</v>
      </c>
      <c r="S37" s="197">
        <f>S36-4</f>
        <v>58</v>
      </c>
      <c r="T37" s="213" t="s">
        <v>5510</v>
      </c>
      <c r="U37" s="213">
        <v>8488</v>
      </c>
      <c r="V37" s="213">
        <f>U37*(1+$R$83+$Q$15*S37/36500)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5512</v>
      </c>
      <c r="S38" s="197">
        <f>S37-2</f>
        <v>56</v>
      </c>
      <c r="T38" s="213" t="s">
        <v>5514</v>
      </c>
      <c r="U38" s="213">
        <v>8317.5</v>
      </c>
      <c r="V38" s="213">
        <f>U38*(1+$R$83+$Q$15*S38/36500)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5439</v>
      </c>
      <c r="N39" s="113">
        <v>-14000000</v>
      </c>
      <c r="Q39" s="169">
        <v>29256748</v>
      </c>
      <c r="R39" s="213" t="s">
        <v>5515</v>
      </c>
      <c r="S39" s="197">
        <f>S38-1</f>
        <v>55</v>
      </c>
      <c r="T39" s="213" t="s">
        <v>5519</v>
      </c>
      <c r="U39" s="213">
        <v>8338</v>
      </c>
      <c r="V39" s="213">
        <f>U39*(1+$R$83+$Q$15*S39/36500)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U40*(1+$R$83+$Q$15*S40/36500)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5527</v>
      </c>
      <c r="S41" s="197">
        <f>S40-1</f>
        <v>51</v>
      </c>
      <c r="T41" s="213" t="s">
        <v>5528</v>
      </c>
      <c r="U41" s="213">
        <v>8966.4</v>
      </c>
      <c r="V41" s="213">
        <f>U41*(1+$R$83+$Q$15*S41/36500)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14167</v>
      </c>
      <c r="O42" s="114"/>
      <c r="P42" t="s">
        <v>25</v>
      </c>
      <c r="Q42" s="169">
        <v>7413007</v>
      </c>
      <c r="R42" s="213" t="s">
        <v>5539</v>
      </c>
      <c r="S42" s="197">
        <f>S41-6</f>
        <v>45</v>
      </c>
      <c r="T42" s="213" t="s">
        <v>5540</v>
      </c>
      <c r="U42" s="213">
        <v>9110.5</v>
      </c>
      <c r="V42" s="213">
        <f>U42*(1+$R$83+$Q$15*S42/36500)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J43" s="114"/>
      <c r="K43" s="258" t="s">
        <v>5626</v>
      </c>
      <c r="L43" s="117">
        <v>-69899915</v>
      </c>
      <c r="M43" s="168"/>
      <c r="N43" s="113"/>
      <c r="O43" s="99"/>
      <c r="P43" s="99"/>
      <c r="Q43" s="169">
        <v>64446280</v>
      </c>
      <c r="R43" s="213" t="s">
        <v>5542</v>
      </c>
      <c r="S43" s="197">
        <f>S42-3</f>
        <v>42</v>
      </c>
      <c r="T43" s="213" t="s">
        <v>5545</v>
      </c>
      <c r="U43" s="213">
        <v>10302</v>
      </c>
      <c r="V43" s="213">
        <f>U43*(1+$R$83+$Q$15*S43/36500)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5565</v>
      </c>
      <c r="L44" s="117">
        <v>-35425716</v>
      </c>
      <c r="M44" s="21" t="s">
        <v>5634</v>
      </c>
      <c r="N44" s="117">
        <f>O44*P44</f>
        <v>99181394.400000006</v>
      </c>
      <c r="O44" s="69">
        <v>5412</v>
      </c>
      <c r="P44" s="69">
        <f>P48</f>
        <v>18326.2</v>
      </c>
      <c r="Q44" s="169">
        <v>172240700.81476495</v>
      </c>
      <c r="R44" s="213" t="s">
        <v>5391</v>
      </c>
      <c r="S44" s="197">
        <f>S43-6</f>
        <v>36</v>
      </c>
      <c r="T44" s="213" t="s">
        <v>5575</v>
      </c>
      <c r="U44" s="213">
        <v>12513</v>
      </c>
      <c r="V44" s="213">
        <f>U44*(1+$R$83+$Q$15*S44/36500)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5635</v>
      </c>
      <c r="L45" s="117">
        <f>N44</f>
        <v>99181394.400000006</v>
      </c>
      <c r="M45" s="21" t="s">
        <v>5322</v>
      </c>
      <c r="N45" s="117">
        <f t="shared" ref="N45:N55" si="15">O45*P45</f>
        <v>0</v>
      </c>
      <c r="O45" s="69">
        <v>0</v>
      </c>
      <c r="P45" s="69">
        <v>86600</v>
      </c>
      <c r="Q45" s="169">
        <v>372863</v>
      </c>
      <c r="R45" s="213" t="s">
        <v>5606</v>
      </c>
      <c r="S45" s="197">
        <f>S44-23</f>
        <v>13</v>
      </c>
      <c r="T45" s="213" t="s">
        <v>5629</v>
      </c>
      <c r="U45" s="213">
        <v>6511.9</v>
      </c>
      <c r="V45" s="213">
        <f>U45*(1+$R$83+$Q$15*S45/36500)</f>
        <v>6675.8214717808223</v>
      </c>
      <c r="W45" s="32">
        <f t="shared" ref="W45:W50" si="16">V45*(1+$W$19/100)</f>
        <v>6809.3379012164387</v>
      </c>
      <c r="X45" s="32">
        <f t="shared" ref="X45:X50" si="17">V45*(1+$X$19/100)</f>
        <v>6942.8543306520551</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5627</v>
      </c>
      <c r="L46" s="117">
        <f>J148</f>
        <v>354319995.40000004</v>
      </c>
      <c r="M46" s="21" t="s">
        <v>5624</v>
      </c>
      <c r="N46" s="117">
        <f t="shared" si="15"/>
        <v>579348</v>
      </c>
      <c r="O46" s="69">
        <v>57</v>
      </c>
      <c r="P46" s="69">
        <v>10164</v>
      </c>
      <c r="Q46" s="169">
        <v>6660442</v>
      </c>
      <c r="R46" s="213" t="s">
        <v>5681</v>
      </c>
      <c r="S46" s="197">
        <f>S44-56</f>
        <v>-20</v>
      </c>
      <c r="T46" s="213" t="s">
        <v>5686</v>
      </c>
      <c r="U46" s="213">
        <v>16289.1</v>
      </c>
      <c r="V46" s="213">
        <f>U46*(1+$R$83+$Q$15*S46/36500)</f>
        <v>16286.779361095892</v>
      </c>
      <c r="W46" s="32">
        <f t="shared" si="16"/>
        <v>16612.51494831781</v>
      </c>
      <c r="X46" s="32">
        <f t="shared" si="17"/>
        <v>16938.25053553973</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c r="L47" s="117"/>
      <c r="M47" s="19" t="s">
        <v>4378</v>
      </c>
      <c r="N47" s="117">
        <f t="shared" si="15"/>
        <v>175587732</v>
      </c>
      <c r="O47" s="69">
        <v>10029</v>
      </c>
      <c r="P47" s="69">
        <v>17508</v>
      </c>
      <c r="Q47" s="169"/>
      <c r="R47" s="213" t="s">
        <v>5691</v>
      </c>
      <c r="S47" s="197">
        <f>S46-5</f>
        <v>-25</v>
      </c>
      <c r="T47" s="213" t="s">
        <v>5692</v>
      </c>
      <c r="U47" s="213"/>
      <c r="V47" s="213"/>
      <c r="W47" s="32"/>
      <c r="X47" s="32"/>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5219</v>
      </c>
      <c r="L48" s="117">
        <f>-1200*P55</f>
        <v>-25200000</v>
      </c>
      <c r="M48" s="19" t="s">
        <v>4382</v>
      </c>
      <c r="N48" s="117">
        <f t="shared" si="15"/>
        <v>2124189842</v>
      </c>
      <c r="O48" s="69">
        <v>115910</v>
      </c>
      <c r="P48" s="69">
        <v>18326.2</v>
      </c>
      <c r="Q48" s="169"/>
      <c r="R48" s="213"/>
      <c r="S48" s="197"/>
      <c r="T48" s="213"/>
      <c r="U48" s="213"/>
      <c r="V48" s="213"/>
      <c r="W48" s="32"/>
      <c r="X48" s="32"/>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5384</v>
      </c>
      <c r="N49" s="117">
        <f t="shared" si="15"/>
        <v>0</v>
      </c>
      <c r="O49" s="69">
        <v>0</v>
      </c>
      <c r="P49" s="69">
        <v>772.2</v>
      </c>
      <c r="Q49" s="169"/>
      <c r="R49" s="213"/>
      <c r="S49" s="197"/>
      <c r="T49" s="213" t="s">
        <v>25</v>
      </c>
      <c r="U49" s="213"/>
      <c r="V49" s="213">
        <f>U49*(1+$R$83+$Q$15*S49/36500)</f>
        <v>0</v>
      </c>
      <c r="W49" s="32">
        <f t="shared" si="16"/>
        <v>0</v>
      </c>
      <c r="X49" s="32">
        <f t="shared" si="17"/>
        <v>0</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10435</v>
      </c>
      <c r="Q50" s="169" t="s">
        <v>25</v>
      </c>
      <c r="R50" s="168" t="s">
        <v>25</v>
      </c>
      <c r="S50" s="168"/>
      <c r="T50" s="168" t="s">
        <v>25</v>
      </c>
      <c r="U50" s="168"/>
      <c r="V50" s="213">
        <f>U50*(1+$R$83+$Q$15*S50/36500)</f>
        <v>0</v>
      </c>
      <c r="W50" s="32">
        <f t="shared" si="16"/>
        <v>0</v>
      </c>
      <c r="X50" s="32">
        <f t="shared" si="17"/>
        <v>0</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5589</v>
      </c>
      <c r="N51" s="117">
        <f t="shared" si="15"/>
        <v>6368000</v>
      </c>
      <c r="O51" s="69">
        <v>199</v>
      </c>
      <c r="P51" s="69">
        <v>32000</v>
      </c>
      <c r="Q51" s="169">
        <f>SUM(N21:N25)-SUM(Q20:Q50)</f>
        <v>2380837881.3275399</v>
      </c>
      <c r="R51" s="168" t="s">
        <v>25</v>
      </c>
      <c r="S51" s="168" t="s">
        <v>25</v>
      </c>
      <c r="T51" s="168"/>
      <c r="U51" s="168"/>
      <c r="V51" s="168"/>
      <c r="W51" s="32"/>
      <c r="X51" s="32"/>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5654</v>
      </c>
      <c r="L52" s="117">
        <f>-4900*P52</f>
        <v>-7781200</v>
      </c>
      <c r="M52" s="19" t="s">
        <v>4173</v>
      </c>
      <c r="N52" s="113">
        <f>O52*P52</f>
        <v>3761108128</v>
      </c>
      <c r="O52" s="99">
        <v>2368456</v>
      </c>
      <c r="P52" s="99">
        <v>1588</v>
      </c>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5673</v>
      </c>
      <c r="L53" s="117">
        <v>-1605910</v>
      </c>
      <c r="M53" s="19" t="s">
        <v>5133</v>
      </c>
      <c r="N53" s="113">
        <f t="shared" si="15"/>
        <v>0</v>
      </c>
      <c r="O53" s="99">
        <v>0</v>
      </c>
      <c r="P53" s="99">
        <v>6330</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1000000</v>
      </c>
      <c r="Q54" s="168" t="s">
        <v>655</v>
      </c>
      <c r="R54" s="168"/>
      <c r="S54" s="168"/>
      <c r="T54" s="168"/>
      <c r="U54" s="168"/>
      <c r="V54" s="168"/>
      <c r="W54" s="32"/>
      <c r="X54" s="32"/>
      <c r="Y54" t="s">
        <v>25</v>
      </c>
      <c r="AH54" s="99">
        <v>35</v>
      </c>
      <c r="AI54" s="113" t="s">
        <v>3977</v>
      </c>
      <c r="AJ54" s="113">
        <v>750000</v>
      </c>
      <c r="AK54" s="99">
        <v>2</v>
      </c>
      <c r="AL54" s="99">
        <f t="shared" si="8"/>
        <v>562</v>
      </c>
      <c r="AM54" s="113">
        <f t="shared" si="9"/>
        <v>421500000</v>
      </c>
      <c r="AN54" s="99"/>
    </row>
    <row r="55" spans="1:45" ht="30">
      <c r="A55" s="63">
        <v>1400</v>
      </c>
      <c r="B55" s="11">
        <v>53</v>
      </c>
      <c r="C55" s="49">
        <f t="shared" si="4"/>
        <v>5434352.6275970079</v>
      </c>
      <c r="D55" s="3">
        <f t="shared" si="5"/>
        <v>4414480.970089077</v>
      </c>
      <c r="E55" s="3">
        <f t="shared" si="10"/>
        <v>554684624.00670612</v>
      </c>
      <c r="F55" s="3"/>
      <c r="G55" s="11"/>
      <c r="H55" s="11"/>
      <c r="K55" s="99"/>
      <c r="L55" s="99"/>
      <c r="M55" s="73" t="s">
        <v>5132</v>
      </c>
      <c r="N55" s="117">
        <f t="shared" si="15"/>
        <v>0</v>
      </c>
      <c r="O55" s="69">
        <v>0</v>
      </c>
      <c r="P55" s="69">
        <v>21000</v>
      </c>
      <c r="Q55" s="168" t="s">
        <v>267</v>
      </c>
      <c r="R55" s="168" t="s">
        <v>180</v>
      </c>
      <c r="S55" s="168" t="s">
        <v>183</v>
      </c>
      <c r="T55" s="168" t="s">
        <v>8</v>
      </c>
      <c r="U55" s="168" t="s">
        <v>4351</v>
      </c>
      <c r="V55" s="73" t="s">
        <v>4353</v>
      </c>
      <c r="W55" s="32">
        <v>2</v>
      </c>
      <c r="X55" s="32">
        <v>4</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8">
        <v>0</v>
      </c>
      <c r="R56" s="168" t="s">
        <v>4166</v>
      </c>
      <c r="S56" s="168">
        <f>S87</f>
        <v>626</v>
      </c>
      <c r="T56" s="168"/>
      <c r="U56" s="168"/>
      <c r="V56" s="73"/>
      <c r="W56" s="32"/>
      <c r="X56" s="32"/>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Q57" s="169">
        <v>863944</v>
      </c>
      <c r="R57" s="168" t="s">
        <v>4421</v>
      </c>
      <c r="S57" s="168">
        <f>S56-62</f>
        <v>564</v>
      </c>
      <c r="T57" s="190" t="s">
        <v>4487</v>
      </c>
      <c r="U57" s="168">
        <v>184.6</v>
      </c>
      <c r="V57" s="168">
        <f>U57*(1+$R$83+$Q$15*S57/36500)</f>
        <v>267.2745008219178</v>
      </c>
      <c r="W57" s="32">
        <f t="shared" ref="W57:W67" si="18">V57*(1+$W$19/100)</f>
        <v>272.61999083835616</v>
      </c>
      <c r="X57" s="32">
        <f t="shared" ref="X57:X67" si="19">V57*(1+$X$19/100)</f>
        <v>277.96548085479452</v>
      </c>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169">
        <v>1692313</v>
      </c>
      <c r="R58" s="168" t="s">
        <v>4490</v>
      </c>
      <c r="S58" s="197">
        <f>S57-21</f>
        <v>543</v>
      </c>
      <c r="T58" s="189" t="s">
        <v>4491</v>
      </c>
      <c r="U58" s="168">
        <v>168.5</v>
      </c>
      <c r="V58" s="168">
        <f>U58*(1+$R$83+$Q$15*S58/36500)</f>
        <v>241.24952876712331</v>
      </c>
      <c r="W58" s="32">
        <f t="shared" si="18"/>
        <v>246.07451934246578</v>
      </c>
      <c r="X58" s="32">
        <f t="shared" si="19"/>
        <v>250.89950991780825</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9">
        <v>101153</v>
      </c>
      <c r="R59" s="168" t="s">
        <v>4493</v>
      </c>
      <c r="S59" s="197">
        <f>S58-1</f>
        <v>542</v>
      </c>
      <c r="T59" s="189" t="s">
        <v>4495</v>
      </c>
      <c r="U59" s="168">
        <v>166.7</v>
      </c>
      <c r="V59" s="168">
        <f>U59*(1+$R$83+$Q$15*S59/36500)</f>
        <v>238.54450301369863</v>
      </c>
      <c r="W59" s="32">
        <f t="shared" si="18"/>
        <v>243.31539307397261</v>
      </c>
      <c r="X59" s="32">
        <f t="shared" si="19"/>
        <v>248.08628313424657</v>
      </c>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9">
        <v>183105</v>
      </c>
      <c r="R60" s="168" t="s">
        <v>4221</v>
      </c>
      <c r="S60" s="197">
        <f>S59-1</f>
        <v>541</v>
      </c>
      <c r="T60" s="189" t="s">
        <v>4499</v>
      </c>
      <c r="U60" s="168">
        <v>166.6</v>
      </c>
      <c r="V60" s="168">
        <f>U60*(1+$R$83+$Q$15*S60/36500)</f>
        <v>238.27360219178081</v>
      </c>
      <c r="W60" s="32">
        <f t="shared" si="18"/>
        <v>243.03907423561643</v>
      </c>
      <c r="X60" s="32">
        <f t="shared" si="19"/>
        <v>247.80454627945204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9">
        <v>168846</v>
      </c>
      <c r="R61" s="168" t="s">
        <v>3687</v>
      </c>
      <c r="S61" s="197">
        <f>S60-30</f>
        <v>511</v>
      </c>
      <c r="T61" s="189" t="s">
        <v>4592</v>
      </c>
      <c r="U61" s="168">
        <v>172.2</v>
      </c>
      <c r="V61" s="168">
        <f>U61*(1+$R$83+$Q$15*S61/36500)</f>
        <v>242.31984</v>
      </c>
      <c r="W61" s="32">
        <f t="shared" si="18"/>
        <v>247.16623680000001</v>
      </c>
      <c r="X61" s="32">
        <f t="shared" si="19"/>
        <v>252.01263360000002</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-W153</f>
        <v>-138437483.27031112</v>
      </c>
      <c r="Q62" s="169">
        <v>19918023</v>
      </c>
      <c r="R62" s="5" t="s">
        <v>4826</v>
      </c>
      <c r="S62" s="197">
        <f>S61-75</f>
        <v>436</v>
      </c>
      <c r="T62" s="189" t="s">
        <v>4828</v>
      </c>
      <c r="U62" s="213">
        <v>183</v>
      </c>
      <c r="V62" s="213">
        <f>U62*(1+$R$83+$Q$15*S62/36500)</f>
        <v>246.98883287671237</v>
      </c>
      <c r="W62" s="32">
        <f t="shared" si="18"/>
        <v>251.92860953424662</v>
      </c>
      <c r="X62" s="32">
        <f t="shared" si="19"/>
        <v>256.86838619178087</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1200301</v>
      </c>
      <c r="R63" s="19" t="s">
        <v>4911</v>
      </c>
      <c r="S63" s="197">
        <f>S62-34</f>
        <v>402</v>
      </c>
      <c r="T63" s="189" t="s">
        <v>4913</v>
      </c>
      <c r="U63" s="213">
        <v>218.5</v>
      </c>
      <c r="V63" s="213">
        <f>U63*(1+$R$83+$Q$15*S63/36500)</f>
        <v>289.20300821917806</v>
      </c>
      <c r="W63" s="32">
        <f t="shared" si="18"/>
        <v>294.98706838356162</v>
      </c>
      <c r="X63" s="32">
        <f t="shared" si="19"/>
        <v>300.77112854794518</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6135206</v>
      </c>
      <c r="R64" s="19" t="s">
        <v>4940</v>
      </c>
      <c r="S64" s="197">
        <f>S63-16</f>
        <v>386</v>
      </c>
      <c r="T64" s="189" t="s">
        <v>4941</v>
      </c>
      <c r="U64" s="213">
        <v>196.2</v>
      </c>
      <c r="V64" s="213">
        <f>U64*(1+$R$83+$Q$15*S64/36500)</f>
        <v>257.27894136986299</v>
      </c>
      <c r="W64" s="32">
        <f t="shared" si="18"/>
        <v>262.42452019726028</v>
      </c>
      <c r="X64" s="32">
        <f t="shared" si="19"/>
        <v>267.57009902465751</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4412261319.0161724</v>
      </c>
      <c r="P65" t="s">
        <v>25</v>
      </c>
      <c r="Q65" s="169">
        <v>104578</v>
      </c>
      <c r="R65" s="19" t="s">
        <v>4958</v>
      </c>
      <c r="S65" s="197">
        <f>S64-9</f>
        <v>377</v>
      </c>
      <c r="T65" s="189" t="s">
        <v>4959</v>
      </c>
      <c r="U65" s="213">
        <v>199.8</v>
      </c>
      <c r="V65" s="213">
        <f>U65*(1+$R$83+$Q$15*S65/36500)</f>
        <v>260.62021479452062</v>
      </c>
      <c r="W65" s="32">
        <f t="shared" si="18"/>
        <v>265.83261909041101</v>
      </c>
      <c r="X65" s="32">
        <f t="shared" si="19"/>
        <v>271.04502338630147</v>
      </c>
      <c r="Y65" t="s">
        <v>25</v>
      </c>
      <c r="Z65" s="96">
        <v>5468</v>
      </c>
      <c r="AA65" s="96"/>
      <c r="AB65" s="96"/>
      <c r="AC65" s="96"/>
      <c r="AH65" s="20">
        <v>45</v>
      </c>
      <c r="AI65" s="117" t="s">
        <v>4103</v>
      </c>
      <c r="AJ65" s="117">
        <v>995000</v>
      </c>
      <c r="AK65" s="20">
        <v>2</v>
      </c>
      <c r="AL65" s="99">
        <f t="shared" ref="AL65:AL92" si="20">AL66+AK65</f>
        <v>526</v>
      </c>
      <c r="AM65" s="113">
        <f t="shared" si="9"/>
        <v>523370000</v>
      </c>
      <c r="AN65" s="20"/>
    </row>
    <row r="66" spans="1:40">
      <c r="K66" s="168" t="s">
        <v>598</v>
      </c>
      <c r="L66" s="113">
        <f>SUM(L16:L48)</f>
        <v>5613741807.1135159</v>
      </c>
      <c r="M66" s="168"/>
      <c r="N66" s="113">
        <f>N16+N17+N35</f>
        <v>641053</v>
      </c>
      <c r="Q66" s="169">
        <v>119253</v>
      </c>
      <c r="R66" s="19" t="s">
        <v>4962</v>
      </c>
      <c r="S66" s="197">
        <f>S65-3</f>
        <v>374</v>
      </c>
      <c r="T66" s="189" t="s">
        <v>4963</v>
      </c>
      <c r="U66" s="213">
        <v>199.5</v>
      </c>
      <c r="V66" s="213">
        <f>U66*(1+$R$83+$Q$15*S66/36500)</f>
        <v>259.76976986301372</v>
      </c>
      <c r="W66" s="32">
        <f t="shared" si="18"/>
        <v>264.96516526027398</v>
      </c>
      <c r="X66" s="32">
        <f t="shared" si="19"/>
        <v>270.16056065753429</v>
      </c>
      <c r="Y66" t="s">
        <v>25</v>
      </c>
      <c r="Z66" s="96">
        <v>31131</v>
      </c>
      <c r="AA66" s="96"/>
      <c r="AB66" s="96"/>
      <c r="AC66" s="96"/>
      <c r="AH66" s="20">
        <v>46</v>
      </c>
      <c r="AI66" s="117" t="s">
        <v>4113</v>
      </c>
      <c r="AJ66" s="117">
        <v>13000000</v>
      </c>
      <c r="AK66" s="20">
        <v>2</v>
      </c>
      <c r="AL66" s="99">
        <f t="shared" si="20"/>
        <v>524</v>
      </c>
      <c r="AM66" s="113">
        <f t="shared" si="9"/>
        <v>6812000000</v>
      </c>
      <c r="AN66" s="20"/>
    </row>
    <row r="67" spans="1:40">
      <c r="A67" t="s">
        <v>25</v>
      </c>
      <c r="F67" t="s">
        <v>310</v>
      </c>
      <c r="G67" t="s">
        <v>4095</v>
      </c>
      <c r="K67" s="168" t="s">
        <v>599</v>
      </c>
      <c r="L67" s="113">
        <f>L16+L17+L27</f>
        <v>4956372</v>
      </c>
      <c r="M67" s="113"/>
      <c r="N67" s="168"/>
      <c r="O67" s="115"/>
      <c r="P67" s="115" t="s">
        <v>25</v>
      </c>
      <c r="Q67" s="169">
        <v>2227488</v>
      </c>
      <c r="R67" s="19" t="s">
        <v>4978</v>
      </c>
      <c r="S67" s="197">
        <f>S66-9</f>
        <v>365</v>
      </c>
      <c r="T67" s="189" t="s">
        <v>5449</v>
      </c>
      <c r="U67" s="213">
        <v>200</v>
      </c>
      <c r="V67" s="213">
        <f>U67*(1+$R$83+$Q$15*S67/36500)</f>
        <v>259.04000000000002</v>
      </c>
      <c r="W67" s="32">
        <f t="shared" si="18"/>
        <v>264.22080000000005</v>
      </c>
      <c r="X67" s="32">
        <f t="shared" si="19"/>
        <v>269.40160000000003</v>
      </c>
      <c r="Y67" t="s">
        <v>25</v>
      </c>
      <c r="Z67" s="96">
        <v>521</v>
      </c>
      <c r="AA67" s="96"/>
      <c r="AB67" s="96"/>
      <c r="AC67" s="96"/>
      <c r="AH67" s="20">
        <v>47</v>
      </c>
      <c r="AI67" s="117" t="s">
        <v>4126</v>
      </c>
      <c r="AJ67" s="117">
        <v>-3100000</v>
      </c>
      <c r="AK67" s="20">
        <v>3</v>
      </c>
      <c r="AL67" s="99">
        <f t="shared" si="20"/>
        <v>522</v>
      </c>
      <c r="AM67" s="113">
        <f t="shared" si="9"/>
        <v>-1618200000</v>
      </c>
      <c r="AN67" s="20"/>
    </row>
    <row r="68" spans="1:40">
      <c r="F68" t="s">
        <v>4099</v>
      </c>
      <c r="G68" t="s">
        <v>4094</v>
      </c>
      <c r="K68" s="56" t="s">
        <v>714</v>
      </c>
      <c r="L68" s="1">
        <f>L66+N7</f>
        <v>5713741807.1135159</v>
      </c>
      <c r="O68" s="96"/>
      <c r="P68" s="96"/>
      <c r="Q68" s="169">
        <v>6990657</v>
      </c>
      <c r="R68" s="19" t="s">
        <v>5443</v>
      </c>
      <c r="S68" s="197">
        <f>S67-265</f>
        <v>100</v>
      </c>
      <c r="T68" s="189" t="s">
        <v>5448</v>
      </c>
      <c r="U68" s="213">
        <v>7792.9</v>
      </c>
      <c r="V68" s="213">
        <f>U68*(1+$R$83+$Q$15*S68/36500)</f>
        <v>8509.163586849314</v>
      </c>
      <c r="W68" s="32">
        <f t="shared" ref="W68:W78" si="21">V68*(1+$W$19/100)</f>
        <v>8679.3468585863011</v>
      </c>
      <c r="X68" s="32">
        <f t="shared" ref="X68:X78" si="22">V68*(1+$X$19/100)</f>
        <v>8849.5301303232864</v>
      </c>
      <c r="Y68" t="s">
        <v>25</v>
      </c>
      <c r="Z68" s="96">
        <v>595</v>
      </c>
      <c r="AA68" s="96" t="s">
        <v>25</v>
      </c>
      <c r="AB68" s="96"/>
      <c r="AC68" s="96"/>
      <c r="AH68" s="20">
        <v>48</v>
      </c>
      <c r="AI68" s="117" t="s">
        <v>4141</v>
      </c>
      <c r="AJ68" s="117">
        <v>45640000</v>
      </c>
      <c r="AK68" s="20">
        <v>1</v>
      </c>
      <c r="AL68" s="99">
        <f t="shared" si="20"/>
        <v>519</v>
      </c>
      <c r="AM68" s="113">
        <f t="shared" si="9"/>
        <v>23687160000</v>
      </c>
      <c r="AN68" s="20"/>
    </row>
    <row r="69" spans="1:40">
      <c r="F69" t="s">
        <v>4100</v>
      </c>
      <c r="G69" t="s">
        <v>4096</v>
      </c>
      <c r="M69" s="25"/>
      <c r="O69" t="s">
        <v>25</v>
      </c>
      <c r="Q69" s="169">
        <v>4411104</v>
      </c>
      <c r="R69" s="19" t="s">
        <v>5450</v>
      </c>
      <c r="S69" s="197">
        <f>S68-2</f>
        <v>98</v>
      </c>
      <c r="T69" s="189" t="s">
        <v>5453</v>
      </c>
      <c r="U69" s="213">
        <v>8086.9</v>
      </c>
      <c r="V69" s="213">
        <f>U69*(1+$R$83+$Q$15*S69/36500)</f>
        <v>8817.7785128767136</v>
      </c>
      <c r="W69" s="32">
        <f t="shared" si="21"/>
        <v>8994.1340831342477</v>
      </c>
      <c r="X69" s="32">
        <f t="shared" si="22"/>
        <v>9170.4896533917818</v>
      </c>
      <c r="Y69" s="122" t="s">
        <v>25</v>
      </c>
      <c r="Z69" s="96">
        <v>108667</v>
      </c>
      <c r="AA69" s="96"/>
      <c r="AB69" s="96"/>
      <c r="AC69" s="96"/>
      <c r="AH69" s="20">
        <v>49</v>
      </c>
      <c r="AI69" s="117" t="s">
        <v>4146</v>
      </c>
      <c r="AJ69" s="117">
        <v>33500000</v>
      </c>
      <c r="AK69" s="20">
        <v>1</v>
      </c>
      <c r="AL69" s="99">
        <f t="shared" si="20"/>
        <v>518</v>
      </c>
      <c r="AM69" s="113">
        <f t="shared" si="9"/>
        <v>17353000000</v>
      </c>
      <c r="AN69" s="20"/>
    </row>
    <row r="70" spans="1:40">
      <c r="G70" t="s">
        <v>4097</v>
      </c>
      <c r="M70" s="25" t="s">
        <v>4076</v>
      </c>
      <c r="N70" s="277" t="s">
        <v>5285</v>
      </c>
      <c r="O70" s="96" t="s">
        <v>25</v>
      </c>
      <c r="P70" s="115"/>
      <c r="Q70" s="169">
        <v>451533</v>
      </c>
      <c r="R70" s="19" t="s">
        <v>5463</v>
      </c>
      <c r="S70" s="197">
        <f>S69-6</f>
        <v>92</v>
      </c>
      <c r="T70" s="189" t="s">
        <v>5470</v>
      </c>
      <c r="U70" s="213">
        <v>500.5</v>
      </c>
      <c r="V70" s="213">
        <f>U70*(1+$R$83+$Q$15*S70/36500)</f>
        <v>543.4305589041096</v>
      </c>
      <c r="W70" s="32">
        <f t="shared" si="21"/>
        <v>554.29917008219184</v>
      </c>
      <c r="X70" s="32">
        <f t="shared" si="22"/>
        <v>565.16778126027396</v>
      </c>
      <c r="Y70" s="122" t="s">
        <v>25</v>
      </c>
      <c r="Z70" t="s">
        <v>25</v>
      </c>
      <c r="AH70" s="20">
        <v>50</v>
      </c>
      <c r="AI70" s="117" t="s">
        <v>4151</v>
      </c>
      <c r="AJ70" s="117">
        <v>12000000</v>
      </c>
      <c r="AK70" s="20">
        <v>1</v>
      </c>
      <c r="AL70" s="99">
        <f t="shared" si="20"/>
        <v>517</v>
      </c>
      <c r="AM70" s="117">
        <f t="shared" si="9"/>
        <v>6204000000</v>
      </c>
      <c r="AN70" s="20"/>
    </row>
    <row r="71" spans="1:40">
      <c r="G71" t="s">
        <v>4098</v>
      </c>
      <c r="M71" s="177"/>
      <c r="N71" s="96"/>
      <c r="O71" s="96"/>
      <c r="P71" s="115"/>
      <c r="Q71" s="169">
        <v>124313</v>
      </c>
      <c r="R71" s="19" t="s">
        <v>5472</v>
      </c>
      <c r="S71" s="197">
        <f>S70-5</f>
        <v>87</v>
      </c>
      <c r="T71" s="189" t="s">
        <v>5473</v>
      </c>
      <c r="U71" s="213">
        <v>460</v>
      </c>
      <c r="V71" s="213">
        <f>U71*(1+$R$83+$Q$15*S71/36500)</f>
        <v>497.69227397260278</v>
      </c>
      <c r="W71" s="32">
        <f t="shared" si="21"/>
        <v>507.64611945205485</v>
      </c>
      <c r="X71" s="32">
        <f t="shared" si="22"/>
        <v>517.59996493150686</v>
      </c>
      <c r="Y71" s="122" t="s">
        <v>25</v>
      </c>
      <c r="AH71" s="20">
        <v>51</v>
      </c>
      <c r="AI71" s="117" t="s">
        <v>4156</v>
      </c>
      <c r="AJ71" s="117">
        <v>15500000</v>
      </c>
      <c r="AK71" s="20">
        <v>4</v>
      </c>
      <c r="AL71" s="99">
        <f t="shared" si="20"/>
        <v>516</v>
      </c>
      <c r="AM71" s="117">
        <f t="shared" si="9"/>
        <v>7998000000</v>
      </c>
      <c r="AN71" s="20"/>
    </row>
    <row r="72" spans="1:40">
      <c r="G72" t="s">
        <v>4102</v>
      </c>
      <c r="M72" s="96" t="s">
        <v>4765</v>
      </c>
      <c r="N72" s="96"/>
      <c r="O72" s="96"/>
      <c r="Q72" s="169">
        <v>371541</v>
      </c>
      <c r="R72" s="19" t="s">
        <v>5500</v>
      </c>
      <c r="S72" s="197">
        <f>S71-23</f>
        <v>64</v>
      </c>
      <c r="T72" s="189" t="s">
        <v>5501</v>
      </c>
      <c r="U72" s="213">
        <v>484.7</v>
      </c>
      <c r="V72" s="213">
        <f>U72*(1+$R$83+$Q$15*S72/36500)</f>
        <v>515.86421808219177</v>
      </c>
      <c r="W72" s="32">
        <f t="shared" si="21"/>
        <v>526.1815024438356</v>
      </c>
      <c r="X72" s="32">
        <f t="shared" si="22"/>
        <v>536.49878680547943</v>
      </c>
      <c r="Y72" s="122" t="s">
        <v>25</v>
      </c>
      <c r="AH72" s="20">
        <v>52</v>
      </c>
      <c r="AI72" s="117" t="s">
        <v>4160</v>
      </c>
      <c r="AJ72" s="117">
        <v>150000</v>
      </c>
      <c r="AK72" s="20">
        <v>1</v>
      </c>
      <c r="AL72" s="99">
        <f t="shared" si="20"/>
        <v>512</v>
      </c>
      <c r="AM72" s="117">
        <f t="shared" si="9"/>
        <v>76800000</v>
      </c>
      <c r="AN72" s="20"/>
    </row>
    <row r="73" spans="1:40">
      <c r="G73" t="s">
        <v>4101</v>
      </c>
      <c r="M73" s="122" t="s">
        <v>4397</v>
      </c>
      <c r="O73" s="114"/>
      <c r="Q73" s="169">
        <v>750391</v>
      </c>
      <c r="R73" s="19" t="s">
        <v>5531</v>
      </c>
      <c r="S73" s="197">
        <f>S72-16</f>
        <v>48</v>
      </c>
      <c r="T73" s="189" t="s">
        <v>5532</v>
      </c>
      <c r="U73" s="213">
        <v>9000</v>
      </c>
      <c r="V73" s="213">
        <f>U73*(1+$R$83+$Q$15*S73/36500)</f>
        <v>9468.1972602739734</v>
      </c>
      <c r="W73" s="32">
        <f t="shared" si="21"/>
        <v>9657.5612054794528</v>
      </c>
      <c r="X73" s="32">
        <f t="shared" si="22"/>
        <v>9846.9251506849323</v>
      </c>
      <c r="Y73" t="s">
        <v>25</v>
      </c>
      <c r="Z73" s="115"/>
      <c r="AH73" s="179">
        <v>53</v>
      </c>
      <c r="AI73" s="180" t="s">
        <v>4166</v>
      </c>
      <c r="AJ73" s="180">
        <v>29000000</v>
      </c>
      <c r="AK73" s="179">
        <v>15</v>
      </c>
      <c r="AL73" s="179">
        <f t="shared" si="20"/>
        <v>511</v>
      </c>
      <c r="AM73" s="180">
        <f t="shared" si="9"/>
        <v>14819000000</v>
      </c>
      <c r="AN73" s="179" t="s">
        <v>4176</v>
      </c>
    </row>
    <row r="74" spans="1:40">
      <c r="M74" s="122" t="s">
        <v>4484</v>
      </c>
      <c r="N74" s="96"/>
      <c r="Q74" s="169">
        <v>1386553</v>
      </c>
      <c r="R74" s="19" t="s">
        <v>5542</v>
      </c>
      <c r="S74" s="197">
        <f>S73-6</f>
        <v>42</v>
      </c>
      <c r="T74" s="189" t="s">
        <v>5625</v>
      </c>
      <c r="U74" s="213">
        <v>10699.9</v>
      </c>
      <c r="V74" s="213">
        <f>U74*(1+$R$83+$Q$15*S74/36500)</f>
        <v>11207.280463561645</v>
      </c>
      <c r="W74" s="32">
        <f t="shared" si="21"/>
        <v>11431.426072832877</v>
      </c>
      <c r="X74" s="32">
        <f t="shared" si="22"/>
        <v>11655.571682104111</v>
      </c>
      <c r="Z74" s="122"/>
      <c r="AH74" s="20">
        <v>54</v>
      </c>
      <c r="AI74" s="117" t="s">
        <v>4200</v>
      </c>
      <c r="AJ74" s="117">
        <v>-130000</v>
      </c>
      <c r="AK74" s="20">
        <v>7</v>
      </c>
      <c r="AL74" s="99">
        <f t="shared" si="20"/>
        <v>496</v>
      </c>
      <c r="AM74" s="117">
        <f t="shared" si="9"/>
        <v>-64480000</v>
      </c>
      <c r="AN74" s="20" t="s">
        <v>4202</v>
      </c>
    </row>
    <row r="75" spans="1:40">
      <c r="G75" s="48" t="s">
        <v>786</v>
      </c>
      <c r="H75" s="201" t="s">
        <v>476</v>
      </c>
      <c r="M75" s="122" t="s">
        <v>4552</v>
      </c>
      <c r="N75" s="96"/>
      <c r="O75" s="278"/>
      <c r="P75" t="s">
        <v>25</v>
      </c>
      <c r="Q75" s="169">
        <v>5038181</v>
      </c>
      <c r="R75" s="19" t="s">
        <v>5559</v>
      </c>
      <c r="S75" s="197">
        <f>S74-8</f>
        <v>34</v>
      </c>
      <c r="T75" s="189" t="s">
        <v>5560</v>
      </c>
      <c r="U75" s="213">
        <v>1022.2</v>
      </c>
      <c r="V75" s="213">
        <f>U75*(1+$R$83+$Q$15*S75/36500)</f>
        <v>1064.3986564383563</v>
      </c>
      <c r="W75" s="32">
        <f t="shared" si="21"/>
        <v>1085.6866295671234</v>
      </c>
      <c r="X75" s="32">
        <f t="shared" si="22"/>
        <v>1106.9746026958906</v>
      </c>
      <c r="Z75" s="115"/>
      <c r="AH75" s="20">
        <v>55</v>
      </c>
      <c r="AI75" s="117" t="s">
        <v>4248</v>
      </c>
      <c r="AJ75" s="117">
        <v>232000</v>
      </c>
      <c r="AK75" s="20">
        <v>2</v>
      </c>
      <c r="AL75" s="99">
        <f t="shared" si="20"/>
        <v>489</v>
      </c>
      <c r="AM75" s="117">
        <f>AJ75*AL75</f>
        <v>113448000</v>
      </c>
      <c r="AN75" s="20" t="s">
        <v>4250</v>
      </c>
    </row>
    <row r="76" spans="1:40" ht="30">
      <c r="D76" s="3"/>
      <c r="E76" s="11" t="s">
        <v>304</v>
      </c>
      <c r="G76" s="47">
        <v>700000</v>
      </c>
      <c r="H76" s="201" t="s">
        <v>1036</v>
      </c>
      <c r="M76" s="206" t="s">
        <v>4661</v>
      </c>
      <c r="N76" s="96"/>
      <c r="P76" s="115"/>
      <c r="Q76" s="169">
        <v>372863</v>
      </c>
      <c r="R76" s="19" t="s">
        <v>5606</v>
      </c>
      <c r="S76" s="197">
        <f>S75-21</f>
        <v>13</v>
      </c>
      <c r="T76" s="189" t="s">
        <v>5629</v>
      </c>
      <c r="U76" s="213">
        <v>6511.9</v>
      </c>
      <c r="V76" s="213">
        <f>U76*(1+$R$83+$Q$15*S76/36500)</f>
        <v>6675.8214717808223</v>
      </c>
      <c r="W76" s="32">
        <f t="shared" si="21"/>
        <v>6809.3379012164387</v>
      </c>
      <c r="X76" s="32">
        <f t="shared" si="22"/>
        <v>6942.8543306520551</v>
      </c>
      <c r="Y76" s="122" t="s">
        <v>25</v>
      </c>
      <c r="Z76" s="115"/>
      <c r="AH76" s="20">
        <v>56</v>
      </c>
      <c r="AI76" s="117" t="s">
        <v>4258</v>
      </c>
      <c r="AJ76" s="117">
        <v>-170000</v>
      </c>
      <c r="AK76" s="20">
        <v>3</v>
      </c>
      <c r="AL76" s="99">
        <f t="shared" si="20"/>
        <v>487</v>
      </c>
      <c r="AM76" s="117">
        <f t="shared" si="9"/>
        <v>-82790000</v>
      </c>
      <c r="AN76" s="20"/>
    </row>
    <row r="77" spans="1:40" ht="31.5">
      <c r="D77" s="1" t="s">
        <v>305</v>
      </c>
      <c r="E77" s="1">
        <v>70000</v>
      </c>
      <c r="G77" s="47">
        <v>500000</v>
      </c>
      <c r="H77" s="201" t="s">
        <v>479</v>
      </c>
      <c r="K77" s="212" t="s">
        <v>4704</v>
      </c>
      <c r="L77" s="22" t="s">
        <v>4682</v>
      </c>
      <c r="M77" s="255" t="s">
        <v>4995</v>
      </c>
      <c r="N77" s="96"/>
      <c r="P77" s="115" t="s">
        <v>25</v>
      </c>
      <c r="Q77" s="169"/>
      <c r="R77" s="19"/>
      <c r="S77" s="197"/>
      <c r="T77" s="189"/>
      <c r="U77" s="213"/>
      <c r="V77" s="213"/>
      <c r="W77" s="32"/>
      <c r="X77" s="32"/>
      <c r="Y77" t="s">
        <v>25</v>
      </c>
      <c r="Z77" s="122"/>
      <c r="AA77" t="s">
        <v>25</v>
      </c>
      <c r="AH77" s="20">
        <v>57</v>
      </c>
      <c r="AI77" s="117" t="s">
        <v>4272</v>
      </c>
      <c r="AJ77" s="117">
        <v>-300000</v>
      </c>
      <c r="AK77" s="20">
        <v>3</v>
      </c>
      <c r="AL77" s="99">
        <f t="shared" si="20"/>
        <v>484</v>
      </c>
      <c r="AM77" s="117">
        <f t="shared" si="9"/>
        <v>-145200000</v>
      </c>
      <c r="AN77" s="20"/>
    </row>
    <row r="78" spans="1:40">
      <c r="D78" s="1" t="s">
        <v>321</v>
      </c>
      <c r="E78" s="1">
        <v>100000</v>
      </c>
      <c r="G78" s="47">
        <v>180000</v>
      </c>
      <c r="H78" s="201" t="s">
        <v>558</v>
      </c>
      <c r="K78" t="s">
        <v>4705</v>
      </c>
      <c r="M78" s="122"/>
      <c r="O78" t="s">
        <v>25</v>
      </c>
      <c r="P78" s="115"/>
      <c r="Q78" s="169"/>
      <c r="R78" s="168"/>
      <c r="S78" s="113"/>
      <c r="T78" s="113"/>
      <c r="U78" s="168" t="s">
        <v>25</v>
      </c>
      <c r="V78" s="213" t="e">
        <f>U78*(1+$R$83+$Q$15*S78/36500)</f>
        <v>#VALUE!</v>
      </c>
      <c r="W78" s="32" t="e">
        <f t="shared" si="21"/>
        <v>#VALUE!</v>
      </c>
      <c r="X78" s="32" t="e">
        <f t="shared" si="22"/>
        <v>#VALUE!</v>
      </c>
      <c r="Z78" s="122"/>
      <c r="AD78" s="115"/>
      <c r="AE78" s="115"/>
      <c r="AH78" s="20">
        <v>58</v>
      </c>
      <c r="AI78" s="117" t="s">
        <v>4281</v>
      </c>
      <c r="AJ78" s="117">
        <v>-11400000</v>
      </c>
      <c r="AK78" s="20">
        <v>13</v>
      </c>
      <c r="AL78" s="99">
        <f t="shared" ref="AL78:AL83" si="23">AL79+AK78</f>
        <v>481</v>
      </c>
      <c r="AM78" s="117">
        <f t="shared" si="9"/>
        <v>-5483400000</v>
      </c>
      <c r="AN78" s="20"/>
    </row>
    <row r="79" spans="1:40">
      <c r="D79" s="1" t="s">
        <v>306</v>
      </c>
      <c r="E79" s="1">
        <v>80000</v>
      </c>
      <c r="G79" s="47">
        <v>0</v>
      </c>
      <c r="H79" s="201" t="s">
        <v>782</v>
      </c>
      <c r="K79" t="s">
        <v>4555</v>
      </c>
      <c r="L79" s="96"/>
      <c r="M79" s="96"/>
      <c r="N79" s="113"/>
      <c r="P79" s="116"/>
      <c r="Q79" s="113">
        <f>SUM(N28:N31)-SUM(Q56:Q78)</f>
        <v>272477551.60000002</v>
      </c>
      <c r="R79" s="168"/>
      <c r="S79" s="168"/>
      <c r="T79" s="168"/>
      <c r="U79" s="168"/>
      <c r="V79" s="168"/>
      <c r="W79" s="32"/>
      <c r="X79" s="32"/>
      <c r="Z79" s="122"/>
      <c r="AC79" s="115"/>
      <c r="AD79" s="115"/>
      <c r="AE79" s="115"/>
      <c r="AF79"/>
      <c r="AH79" s="20">
        <v>59</v>
      </c>
      <c r="AI79" s="117" t="s">
        <v>4335</v>
      </c>
      <c r="AJ79" s="117">
        <v>-10000000</v>
      </c>
      <c r="AK79" s="20">
        <v>1</v>
      </c>
      <c r="AL79" s="99">
        <f t="shared" si="23"/>
        <v>468</v>
      </c>
      <c r="AM79" s="117">
        <f>AJ79*AL79</f>
        <v>-4680000000</v>
      </c>
      <c r="AN79" s="20"/>
    </row>
    <row r="80" spans="1:40">
      <c r="D80" s="31" t="s">
        <v>307</v>
      </c>
      <c r="E80" s="1">
        <v>150000</v>
      </c>
      <c r="G80" s="47">
        <v>0</v>
      </c>
      <c r="H80" s="201" t="s">
        <v>783</v>
      </c>
      <c r="J80" t="s">
        <v>25</v>
      </c>
      <c r="K80" t="s">
        <v>4766</v>
      </c>
      <c r="P80" s="115"/>
      <c r="R80" s="115"/>
      <c r="S80" s="115"/>
      <c r="T80" s="115" t="s">
        <v>25</v>
      </c>
      <c r="U80" s="115" t="s">
        <v>25</v>
      </c>
      <c r="V80" s="115" t="s">
        <v>25</v>
      </c>
      <c r="W80" s="194" t="s">
        <v>25</v>
      </c>
      <c r="X80" s="194"/>
      <c r="Z80" s="122"/>
      <c r="AC80" s="115"/>
      <c r="AD80" s="115"/>
      <c r="AE80" s="115"/>
      <c r="AF80"/>
      <c r="AH80" s="20">
        <v>60</v>
      </c>
      <c r="AI80" s="117" t="s">
        <v>4336</v>
      </c>
      <c r="AJ80" s="117">
        <v>-2450000</v>
      </c>
      <c r="AK80" s="20">
        <v>5</v>
      </c>
      <c r="AL80" s="99">
        <f t="shared" si="23"/>
        <v>467</v>
      </c>
      <c r="AM80" s="117">
        <f>AJ80*AL80</f>
        <v>-1144150000</v>
      </c>
      <c r="AN80" s="20"/>
    </row>
    <row r="81" spans="4:52">
      <c r="D81" s="31" t="s">
        <v>308</v>
      </c>
      <c r="E81" s="1">
        <v>300000</v>
      </c>
      <c r="G81" s="47">
        <v>500000</v>
      </c>
      <c r="H81" s="48" t="s">
        <v>784</v>
      </c>
      <c r="K81" t="s">
        <v>4767</v>
      </c>
      <c r="N81" t="s">
        <v>25</v>
      </c>
      <c r="P81" s="115"/>
      <c r="Q81" s="99" t="s">
        <v>946</v>
      </c>
      <c r="R81" s="99">
        <v>1.03E-2</v>
      </c>
      <c r="S81" s="26" t="s">
        <v>25</v>
      </c>
      <c r="T81" t="s">
        <v>25</v>
      </c>
      <c r="U81" s="96" t="s">
        <v>25</v>
      </c>
      <c r="V81" s="115" t="s">
        <v>25</v>
      </c>
      <c r="W81" s="194" t="s">
        <v>25</v>
      </c>
      <c r="X81" s="194"/>
      <c r="Z81" s="122"/>
      <c r="AA81" t="s">
        <v>25</v>
      </c>
      <c r="AD81" s="115"/>
      <c r="AE81" s="115"/>
      <c r="AF81" s="115"/>
      <c r="AH81" s="20">
        <v>61</v>
      </c>
      <c r="AI81" s="117" t="s">
        <v>4360</v>
      </c>
      <c r="AJ81" s="117">
        <v>-456081</v>
      </c>
      <c r="AK81" s="20">
        <v>1</v>
      </c>
      <c r="AL81" s="99">
        <f t="shared" si="23"/>
        <v>462</v>
      </c>
      <c r="AM81" s="117">
        <f t="shared" si="9"/>
        <v>-210709422</v>
      </c>
      <c r="AN81" s="20"/>
    </row>
    <row r="82" spans="4:52" ht="26.25">
      <c r="D82" s="31" t="s">
        <v>309</v>
      </c>
      <c r="E82" s="1">
        <v>100000</v>
      </c>
      <c r="G82" s="47">
        <v>75000</v>
      </c>
      <c r="H82" s="48" t="s">
        <v>785</v>
      </c>
      <c r="K82" t="s">
        <v>4768</v>
      </c>
      <c r="M82" s="252"/>
      <c r="Q82" s="99" t="s">
        <v>61</v>
      </c>
      <c r="R82" s="99">
        <v>4.8999999999999998E-3</v>
      </c>
      <c r="T82" s="114" t="s">
        <v>25</v>
      </c>
      <c r="U82" s="96" t="s">
        <v>25</v>
      </c>
      <c r="V82" t="s">
        <v>25</v>
      </c>
      <c r="W82" s="194" t="s">
        <v>25</v>
      </c>
      <c r="X82" s="194" t="s">
        <v>25</v>
      </c>
      <c r="Y82" s="96" t="s">
        <v>25</v>
      </c>
      <c r="Z82" s="122"/>
      <c r="AA82" s="115"/>
      <c r="AB82" s="115"/>
      <c r="AC82" s="115"/>
      <c r="AD82" s="115"/>
      <c r="AE82" s="115"/>
      <c r="AF82" s="115"/>
      <c r="AH82" s="20">
        <v>62</v>
      </c>
      <c r="AI82" s="117" t="s">
        <v>4362</v>
      </c>
      <c r="AJ82" s="117">
        <v>-500000</v>
      </c>
      <c r="AK82" s="20">
        <v>2</v>
      </c>
      <c r="AL82" s="99">
        <f t="shared" si="23"/>
        <v>461</v>
      </c>
      <c r="AM82" s="117">
        <f t="shared" si="9"/>
        <v>-230500000</v>
      </c>
      <c r="AN82" s="20"/>
      <c r="AO82" t="s">
        <v>25</v>
      </c>
      <c r="AU82"/>
      <c r="AW82" t="s">
        <v>25</v>
      </c>
    </row>
    <row r="83" spans="4:52">
      <c r="D83" s="31" t="s">
        <v>310</v>
      </c>
      <c r="E83" s="1">
        <v>200000</v>
      </c>
      <c r="G83" s="47">
        <v>0</v>
      </c>
      <c r="H83" s="48" t="s">
        <v>787</v>
      </c>
      <c r="K83" t="s">
        <v>4517</v>
      </c>
      <c r="Q83" s="99" t="s">
        <v>6</v>
      </c>
      <c r="R83" s="99">
        <f>R81+R82</f>
        <v>1.52E-2</v>
      </c>
      <c r="T83" t="s">
        <v>25</v>
      </c>
      <c r="U83" s="96" t="s">
        <v>25</v>
      </c>
      <c r="V83" t="s">
        <v>25</v>
      </c>
      <c r="W83" s="194"/>
      <c r="X83" s="194"/>
      <c r="Y83" s="96" t="s">
        <v>25</v>
      </c>
      <c r="AA83" s="115"/>
      <c r="AB83" s="115"/>
      <c r="AC83" s="128"/>
      <c r="AD83" s="115"/>
      <c r="AE83" s="115"/>
      <c r="AF83" s="115"/>
      <c r="AH83" s="20">
        <v>63</v>
      </c>
      <c r="AI83" s="117" t="s">
        <v>4380</v>
      </c>
      <c r="AJ83" s="117">
        <v>-6234370</v>
      </c>
      <c r="AK83" s="20">
        <v>3</v>
      </c>
      <c r="AL83" s="99">
        <f t="shared" si="23"/>
        <v>459</v>
      </c>
      <c r="AM83" s="117">
        <f t="shared" si="9"/>
        <v>-2861575830</v>
      </c>
      <c r="AN83" s="20"/>
      <c r="AU83"/>
    </row>
    <row r="84" spans="4:52">
      <c r="D84" s="18" t="s">
        <v>311</v>
      </c>
      <c r="E84" s="18">
        <v>300000</v>
      </c>
      <c r="G84" s="47">
        <v>500000</v>
      </c>
      <c r="H84" s="48" t="s">
        <v>564</v>
      </c>
      <c r="J84">
        <v>0</v>
      </c>
      <c r="K84" t="s">
        <v>4558</v>
      </c>
      <c r="M84" s="257" t="s">
        <v>5000</v>
      </c>
      <c r="W84" s="194"/>
      <c r="X84" s="194"/>
      <c r="Y84" s="96" t="s">
        <v>25</v>
      </c>
      <c r="AA84" s="115"/>
      <c r="AB84" s="115"/>
      <c r="AC84" s="128"/>
      <c r="AD84" s="115"/>
      <c r="AE84" s="115"/>
      <c r="AF84" s="115"/>
      <c r="AH84" s="20">
        <v>64</v>
      </c>
      <c r="AI84" s="117" t="s">
        <v>4390</v>
      </c>
      <c r="AJ84" s="117">
        <v>1950957</v>
      </c>
      <c r="AK84" s="20">
        <v>4</v>
      </c>
      <c r="AL84" s="99">
        <f t="shared" si="20"/>
        <v>456</v>
      </c>
      <c r="AM84" s="117">
        <f t="shared" si="9"/>
        <v>889636392</v>
      </c>
      <c r="AN84" s="20"/>
      <c r="AZ84" t="s">
        <v>25</v>
      </c>
    </row>
    <row r="85" spans="4:52" ht="30">
      <c r="D85" s="32" t="s">
        <v>312</v>
      </c>
      <c r="E85" s="1">
        <v>200000</v>
      </c>
      <c r="G85" s="47">
        <v>50000</v>
      </c>
      <c r="H85" s="48" t="s">
        <v>790</v>
      </c>
      <c r="K85" t="s">
        <v>4516</v>
      </c>
      <c r="M85" s="257" t="s">
        <v>5001</v>
      </c>
      <c r="Q85" s="73" t="s">
        <v>4284</v>
      </c>
      <c r="R85" s="112"/>
      <c r="S85" s="112"/>
      <c r="T85" s="112"/>
      <c r="U85" s="168" t="s">
        <v>4351</v>
      </c>
      <c r="V85" s="36" t="s">
        <v>4353</v>
      </c>
      <c r="W85" s="32"/>
      <c r="X85" s="32"/>
      <c r="Y85" s="96" t="s">
        <v>25</v>
      </c>
      <c r="AA85" s="115"/>
      <c r="AB85" s="115"/>
      <c r="AC85" s="128"/>
      <c r="AD85" s="115"/>
      <c r="AE85" s="115"/>
      <c r="AF85" s="115"/>
      <c r="AH85" s="20">
        <v>65</v>
      </c>
      <c r="AI85" s="117" t="s">
        <v>4415</v>
      </c>
      <c r="AJ85" s="117">
        <v>600000</v>
      </c>
      <c r="AK85" s="20">
        <v>5</v>
      </c>
      <c r="AL85" s="99">
        <f t="shared" si="20"/>
        <v>452</v>
      </c>
      <c r="AM85" s="117">
        <f t="shared" si="9"/>
        <v>271200000</v>
      </c>
      <c r="AN85" s="20"/>
    </row>
    <row r="86" spans="4:52">
      <c r="D86" s="32" t="s">
        <v>313</v>
      </c>
      <c r="E86" s="1">
        <v>20000</v>
      </c>
      <c r="G86" s="47">
        <v>140000</v>
      </c>
      <c r="H86" s="48" t="s">
        <v>314</v>
      </c>
      <c r="J86" t="s">
        <v>25</v>
      </c>
      <c r="K86" s="22" t="s">
        <v>4233</v>
      </c>
      <c r="Q86" s="112" t="s">
        <v>267</v>
      </c>
      <c r="R86" s="112" t="s">
        <v>180</v>
      </c>
      <c r="S86" s="112" t="s">
        <v>183</v>
      </c>
      <c r="T86" s="112" t="s">
        <v>8</v>
      </c>
      <c r="U86" s="168"/>
      <c r="V86" s="99"/>
      <c r="W86" s="32">
        <v>2</v>
      </c>
      <c r="X86" s="32">
        <v>4</v>
      </c>
      <c r="Y86" s="96" t="s">
        <v>25</v>
      </c>
      <c r="AA86" s="122" t="s">
        <v>25</v>
      </c>
      <c r="AB86" s="115"/>
      <c r="AC86" s="128"/>
      <c r="AD86" s="115"/>
      <c r="AE86" s="115"/>
      <c r="AF86" s="115"/>
      <c r="AH86" s="20">
        <v>66</v>
      </c>
      <c r="AI86" s="117" t="s">
        <v>4423</v>
      </c>
      <c r="AJ86" s="117">
        <v>7500000</v>
      </c>
      <c r="AK86" s="20">
        <v>2</v>
      </c>
      <c r="AL86" s="99">
        <f t="shared" si="20"/>
        <v>447</v>
      </c>
      <c r="AM86" s="117">
        <f t="shared" si="9"/>
        <v>3352500000</v>
      </c>
      <c r="AN86" s="20"/>
      <c r="AS86" s="96"/>
    </row>
    <row r="87" spans="4:52">
      <c r="D87" s="32" t="s">
        <v>315</v>
      </c>
      <c r="E87" s="1">
        <v>50000</v>
      </c>
      <c r="G87" s="47"/>
      <c r="H87" s="48" t="s">
        <v>25</v>
      </c>
      <c r="J87">
        <v>0</v>
      </c>
      <c r="K87" t="s">
        <v>4513</v>
      </c>
      <c r="Q87" s="35">
        <v>184971545</v>
      </c>
      <c r="R87" s="5" t="s">
        <v>4166</v>
      </c>
      <c r="S87" s="5">
        <v>626</v>
      </c>
      <c r="T87" s="5" t="s">
        <v>4334</v>
      </c>
      <c r="U87" s="168">
        <v>192</v>
      </c>
      <c r="V87" s="99">
        <f>U87*(1+$R$83+$Q$15*S87/36500)</f>
        <v>287.12048219178087</v>
      </c>
      <c r="W87" s="32">
        <f t="shared" ref="W87:W102" si="24">V87*(1+$W$19/100)</f>
        <v>292.86289183561649</v>
      </c>
      <c r="X87" s="32">
        <f t="shared" ref="X87:X102" si="25">V87*(1+$X$19/100)</f>
        <v>298.60530147945212</v>
      </c>
      <c r="Y87" s="122" t="s">
        <v>25</v>
      </c>
      <c r="AA87" s="115" t="s">
        <v>25</v>
      </c>
      <c r="AB87" s="115"/>
      <c r="AC87" s="128"/>
      <c r="AD87" s="115"/>
      <c r="AE87" s="115"/>
      <c r="AF87" s="115"/>
      <c r="AH87" s="20">
        <v>67</v>
      </c>
      <c r="AI87" s="117" t="s">
        <v>4428</v>
      </c>
      <c r="AJ87" s="117">
        <v>-587816</v>
      </c>
      <c r="AK87" s="20">
        <v>3</v>
      </c>
      <c r="AL87" s="99">
        <f t="shared" si="20"/>
        <v>445</v>
      </c>
      <c r="AM87" s="117">
        <f t="shared" si="9"/>
        <v>-261578120</v>
      </c>
      <c r="AN87" s="20"/>
      <c r="AS87" s="96"/>
    </row>
    <row r="88" spans="4:52">
      <c r="D88" s="32" t="s">
        <v>316</v>
      </c>
      <c r="E88" s="1">
        <v>90000</v>
      </c>
      <c r="G88" s="47">
        <f>SUM(G76:G87)</f>
        <v>2645000</v>
      </c>
      <c r="H88" s="48" t="s">
        <v>6</v>
      </c>
      <c r="K88" t="s">
        <v>4285</v>
      </c>
      <c r="Q88" s="35">
        <v>9560464</v>
      </c>
      <c r="R88" s="5" t="s">
        <v>4288</v>
      </c>
      <c r="S88" s="5">
        <f>S87-31</f>
        <v>595</v>
      </c>
      <c r="T88" s="5" t="s">
        <v>4301</v>
      </c>
      <c r="U88" s="168">
        <v>214.57</v>
      </c>
      <c r="V88" s="99">
        <f>U88*(1+$R$83+$Q$15*S88/36500)</f>
        <v>315.7694420821918</v>
      </c>
      <c r="W88" s="32">
        <f t="shared" si="24"/>
        <v>322.08483092383563</v>
      </c>
      <c r="X88" s="32">
        <f t="shared" si="25"/>
        <v>328.40021976547951</v>
      </c>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Q89" s="35">
        <v>2000000</v>
      </c>
      <c r="R89" s="5" t="s">
        <v>4331</v>
      </c>
      <c r="S89" s="5">
        <f>S88-11</f>
        <v>584</v>
      </c>
      <c r="T89" s="5" t="s">
        <v>4333</v>
      </c>
      <c r="U89" s="168">
        <v>206.8</v>
      </c>
      <c r="V89" s="99">
        <f>U89*(1+$R$83+$Q$15*S89/36500)</f>
        <v>302.58976000000001</v>
      </c>
      <c r="W89" s="32">
        <f t="shared" si="24"/>
        <v>308.64155520000003</v>
      </c>
      <c r="X89" s="32">
        <f t="shared" si="25"/>
        <v>314.69335040000004</v>
      </c>
      <c r="Z89" s="115"/>
      <c r="AA89" s="115"/>
      <c r="AB89" s="115"/>
      <c r="AC89" s="115"/>
      <c r="AD89" s="115"/>
      <c r="AE89" s="115"/>
      <c r="AF89" s="115"/>
      <c r="AG89" s="115"/>
      <c r="AH89" s="20">
        <v>69</v>
      </c>
      <c r="AI89" s="117" t="s">
        <v>4427</v>
      </c>
      <c r="AJ89" s="117">
        <v>2450000</v>
      </c>
      <c r="AK89" s="20">
        <v>1</v>
      </c>
      <c r="AL89" s="99">
        <f t="shared" si="20"/>
        <v>442</v>
      </c>
      <c r="AM89" s="117">
        <f t="shared" si="9"/>
        <v>1082900000</v>
      </c>
      <c r="AN89" s="20" t="s">
        <v>4460</v>
      </c>
      <c r="AQ89" t="s">
        <v>25</v>
      </c>
      <c r="AR89" t="s">
        <v>25</v>
      </c>
    </row>
    <row r="90" spans="4:52">
      <c r="D90" s="32" t="s">
        <v>327</v>
      </c>
      <c r="E90" s="1">
        <v>150000</v>
      </c>
      <c r="F90" s="96"/>
      <c r="G90" s="96"/>
      <c r="H90" s="96"/>
      <c r="I90" s="96"/>
      <c r="J90" s="96"/>
      <c r="K90" s="96"/>
      <c r="M90" t="s">
        <v>4513</v>
      </c>
      <c r="Q90" s="35">
        <v>1429825</v>
      </c>
      <c r="R90" s="5" t="s">
        <v>4360</v>
      </c>
      <c r="S90" s="5">
        <f>S89-7</f>
        <v>577</v>
      </c>
      <c r="T90" s="5" t="s">
        <v>4369</v>
      </c>
      <c r="U90" s="168">
        <v>203.9</v>
      </c>
      <c r="V90" s="99">
        <f>U90*(1+$R$83+$Q$15*S90/36500)</f>
        <v>297.25156493150683</v>
      </c>
      <c r="W90" s="32">
        <f t="shared" si="24"/>
        <v>303.196596230137</v>
      </c>
      <c r="X90" s="32">
        <f t="shared" si="25"/>
        <v>309.14162752876712</v>
      </c>
      <c r="Z90" s="115"/>
      <c r="AA90" s="115"/>
      <c r="AB90" s="115"/>
      <c r="AC90" s="115"/>
      <c r="AD90" s="115"/>
      <c r="AE90"/>
      <c r="AG90" s="115"/>
      <c r="AH90" s="20">
        <v>70</v>
      </c>
      <c r="AI90" s="117" t="s">
        <v>4462</v>
      </c>
      <c r="AJ90" s="117">
        <v>1500000</v>
      </c>
      <c r="AK90" s="20">
        <v>1</v>
      </c>
      <c r="AL90" s="99">
        <f t="shared" si="20"/>
        <v>441</v>
      </c>
      <c r="AM90" s="117">
        <f t="shared" si="9"/>
        <v>661500000</v>
      </c>
      <c r="AN90" s="20"/>
      <c r="AP90" t="s">
        <v>25</v>
      </c>
      <c r="AU90" s="96" t="s">
        <v>25</v>
      </c>
    </row>
    <row r="91" spans="4:52">
      <c r="D91" s="32" t="s">
        <v>318</v>
      </c>
      <c r="E91" s="1">
        <v>15000</v>
      </c>
      <c r="F91" s="96"/>
      <c r="G91" s="96"/>
      <c r="H91" s="96"/>
      <c r="I91" s="96"/>
      <c r="J91" s="96" t="s">
        <v>25</v>
      </c>
      <c r="K91" s="96"/>
      <c r="M91" t="s">
        <v>4516</v>
      </c>
      <c r="Q91" s="35">
        <v>1420747</v>
      </c>
      <c r="R91" s="5" t="s">
        <v>4360</v>
      </c>
      <c r="S91" s="5">
        <f>S90</f>
        <v>577</v>
      </c>
      <c r="T91" s="5" t="s">
        <v>4371</v>
      </c>
      <c r="U91" s="168">
        <v>203.1</v>
      </c>
      <c r="V91" s="99">
        <f>U91*(1+$R$83+$Q$15*S91/36500)</f>
        <v>296.08530082191783</v>
      </c>
      <c r="W91" s="32">
        <f t="shared" si="24"/>
        <v>302.00700683835618</v>
      </c>
      <c r="X91" s="32">
        <f t="shared" si="25"/>
        <v>307.92871285479453</v>
      </c>
      <c r="Z91" s="115"/>
      <c r="AA91" s="115"/>
      <c r="AE91"/>
      <c r="AG91" s="96"/>
      <c r="AH91" s="20">
        <v>71</v>
      </c>
      <c r="AI91" s="117" t="s">
        <v>4468</v>
      </c>
      <c r="AJ91" s="117">
        <v>2648000</v>
      </c>
      <c r="AK91" s="20">
        <v>1</v>
      </c>
      <c r="AL91" s="99">
        <f t="shared" si="20"/>
        <v>440</v>
      </c>
      <c r="AM91" s="117">
        <f t="shared" si="9"/>
        <v>1165120000</v>
      </c>
      <c r="AN91" s="20" t="s">
        <v>4469</v>
      </c>
      <c r="AU91" s="96" t="s">
        <v>25</v>
      </c>
    </row>
    <row r="92" spans="4:52">
      <c r="D92" s="32" t="s">
        <v>319</v>
      </c>
      <c r="E92" s="1">
        <v>20000</v>
      </c>
      <c r="F92" s="96"/>
      <c r="G92" s="96"/>
      <c r="H92" s="96"/>
      <c r="I92" s="96"/>
      <c r="J92" s="96"/>
      <c r="K92" s="96"/>
      <c r="M92" t="s">
        <v>4517</v>
      </c>
      <c r="Q92" s="35">
        <v>2010885</v>
      </c>
      <c r="R92" s="5" t="s">
        <v>4380</v>
      </c>
      <c r="S92" s="5">
        <f>S91-3</f>
        <v>574</v>
      </c>
      <c r="T92" s="5" t="s">
        <v>4385</v>
      </c>
      <c r="U92" s="168">
        <v>202.1</v>
      </c>
      <c r="V92" s="99">
        <f>U92*(1+$R$83+$Q$15*S92/36500)</f>
        <v>294.16236383561642</v>
      </c>
      <c r="W92" s="32">
        <f t="shared" si="24"/>
        <v>300.04561111232874</v>
      </c>
      <c r="X92" s="32">
        <f t="shared" si="25"/>
        <v>305.92885838904107</v>
      </c>
      <c r="Z92" s="115"/>
      <c r="AA92" s="115"/>
      <c r="AE92"/>
      <c r="AG92" s="96"/>
      <c r="AH92" s="20">
        <v>72</v>
      </c>
      <c r="AI92" s="117" t="s">
        <v>4222</v>
      </c>
      <c r="AJ92" s="117">
        <v>615000</v>
      </c>
      <c r="AK92" s="20">
        <v>4</v>
      </c>
      <c r="AL92" s="99">
        <f t="shared" si="20"/>
        <v>439</v>
      </c>
      <c r="AM92" s="117">
        <f t="shared" si="9"/>
        <v>269985000</v>
      </c>
      <c r="AN92" s="20"/>
      <c r="AV92" t="s">
        <v>25</v>
      </c>
    </row>
    <row r="93" spans="4:52">
      <c r="D93" s="32" t="s">
        <v>320</v>
      </c>
      <c r="E93" s="1">
        <v>40000</v>
      </c>
      <c r="F93" s="96"/>
      <c r="G93" s="96"/>
      <c r="H93" s="96"/>
      <c r="I93" s="96"/>
      <c r="J93" s="96"/>
      <c r="K93" s="96"/>
      <c r="M93" s="96"/>
      <c r="N93" s="96"/>
      <c r="Q93" s="35">
        <v>1971103</v>
      </c>
      <c r="R93" s="5" t="s">
        <v>4401</v>
      </c>
      <c r="S93" s="5">
        <f>S92-4</f>
        <v>570</v>
      </c>
      <c r="T93" s="5" t="s">
        <v>4402</v>
      </c>
      <c r="U93" s="168">
        <v>196.2</v>
      </c>
      <c r="V93" s="99">
        <f>U93*(1+$R$83+$Q$15*S93/36500)</f>
        <v>284.97270575342469</v>
      </c>
      <c r="W93" s="32">
        <f t="shared" si="24"/>
        <v>290.67215986849317</v>
      </c>
      <c r="X93" s="32">
        <f t="shared" si="25"/>
        <v>296.3716139835617</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1049856</v>
      </c>
      <c r="R94" s="5" t="s">
        <v>4421</v>
      </c>
      <c r="S94" s="5">
        <f>S93-6</f>
        <v>564</v>
      </c>
      <c r="T94" s="5" t="s">
        <v>4454</v>
      </c>
      <c r="U94" s="168">
        <v>184.5</v>
      </c>
      <c r="V94" s="99">
        <f>U94*(1+$R$83+$Q$15*S94/36500)</f>
        <v>267.12971506849317</v>
      </c>
      <c r="W94" s="32">
        <f t="shared" si="24"/>
        <v>272.47230936986301</v>
      </c>
      <c r="X94" s="32">
        <f t="shared" si="25"/>
        <v>277.81490367123291</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1783234</v>
      </c>
      <c r="R95" s="5" t="s">
        <v>4423</v>
      </c>
      <c r="S95" s="5">
        <f>S94-2</f>
        <v>562</v>
      </c>
      <c r="T95" s="5" t="s">
        <v>4424</v>
      </c>
      <c r="U95" s="168">
        <v>177.5</v>
      </c>
      <c r="V95" s="99">
        <f>U95*(1+$R$83+$Q$15*S95/36500)</f>
        <v>256.72238356164388</v>
      </c>
      <c r="W95" s="32">
        <f t="shared" si="24"/>
        <v>261.85683123287674</v>
      </c>
      <c r="X95" s="32">
        <f t="shared" si="25"/>
        <v>266.99127890410966</v>
      </c>
      <c r="Y95">
        <v>44349</v>
      </c>
      <c r="AH95" s="99">
        <v>75</v>
      </c>
      <c r="AI95" s="113" t="s">
        <v>4483</v>
      </c>
      <c r="AJ95" s="113">
        <v>2269000</v>
      </c>
      <c r="AK95" s="99">
        <v>1</v>
      </c>
      <c r="AL95" s="99">
        <f t="shared" ref="AL95:AL120" si="26">AL96+AK95</f>
        <v>433</v>
      </c>
      <c r="AM95" s="117">
        <f t="shared" si="9"/>
        <v>982477000</v>
      </c>
      <c r="AN95" s="99"/>
    </row>
    <row r="96" spans="4:52">
      <c r="D96" s="32" t="s">
        <v>314</v>
      </c>
      <c r="E96" s="1">
        <v>140000</v>
      </c>
      <c r="F96" s="96"/>
      <c r="G96" s="96"/>
      <c r="H96" s="96"/>
      <c r="I96" s="96"/>
      <c r="J96" s="96"/>
      <c r="K96" s="96"/>
      <c r="M96" t="s">
        <v>5252</v>
      </c>
      <c r="P96" t="s">
        <v>25</v>
      </c>
      <c r="Q96" s="35">
        <v>1662335</v>
      </c>
      <c r="R96" s="5" t="s">
        <v>4427</v>
      </c>
      <c r="S96" s="5">
        <f>S95-5</f>
        <v>557</v>
      </c>
      <c r="T96" s="218" t="s">
        <v>4566</v>
      </c>
      <c r="U96" s="168">
        <v>190.3</v>
      </c>
      <c r="V96" s="99">
        <f>U96*(1+$R$83+$Q$15*S96/36500)</f>
        <v>274.50540383561645</v>
      </c>
      <c r="W96" s="32">
        <f t="shared" si="24"/>
        <v>279.99551191232877</v>
      </c>
      <c r="X96" s="32">
        <f t="shared" si="25"/>
        <v>285.48561998904114</v>
      </c>
      <c r="Y96">
        <v>9625</v>
      </c>
      <c r="AH96" s="99">
        <v>76</v>
      </c>
      <c r="AI96" s="113" t="s">
        <v>4223</v>
      </c>
      <c r="AJ96" s="113">
        <v>750000</v>
      </c>
      <c r="AK96" s="99">
        <v>4</v>
      </c>
      <c r="AL96" s="99">
        <f t="shared" si="26"/>
        <v>432</v>
      </c>
      <c r="AM96" s="117">
        <f t="shared" si="9"/>
        <v>324000000</v>
      </c>
      <c r="AN96" s="99"/>
      <c r="AQ96" t="s">
        <v>25</v>
      </c>
    </row>
    <row r="97" spans="4:47">
      <c r="D97" s="2" t="s">
        <v>478</v>
      </c>
      <c r="E97" s="3">
        <v>1083333</v>
      </c>
      <c r="F97" s="96"/>
      <c r="G97" s="96"/>
      <c r="H97" s="96"/>
      <c r="I97" s="96"/>
      <c r="J97" s="96"/>
      <c r="K97" s="96" t="s">
        <v>25</v>
      </c>
      <c r="M97" t="s">
        <v>5258</v>
      </c>
      <c r="P97" s="115"/>
      <c r="Q97" s="35">
        <v>2272487</v>
      </c>
      <c r="R97" s="5" t="s">
        <v>4576</v>
      </c>
      <c r="S97" s="5">
        <f>S96-42</f>
        <v>515</v>
      </c>
      <c r="T97" s="5" t="s">
        <v>4577</v>
      </c>
      <c r="U97" s="168">
        <v>174.9</v>
      </c>
      <c r="V97" s="99">
        <f>U97*(1+$R$83+$Q$15*S97/36500)</f>
        <v>246.65595945205482</v>
      </c>
      <c r="W97" s="32">
        <f t="shared" si="24"/>
        <v>251.58907864109591</v>
      </c>
      <c r="X97" s="32">
        <f t="shared" si="25"/>
        <v>256.52219783013703</v>
      </c>
      <c r="Y97">
        <v>6980</v>
      </c>
      <c r="AH97" s="99">
        <v>77</v>
      </c>
      <c r="AI97" s="113" t="s">
        <v>4490</v>
      </c>
      <c r="AJ97" s="113">
        <v>1900000</v>
      </c>
      <c r="AK97" s="99">
        <v>3</v>
      </c>
      <c r="AL97" s="99">
        <f t="shared" si="26"/>
        <v>428</v>
      </c>
      <c r="AM97" s="117">
        <f t="shared" si="9"/>
        <v>813200000</v>
      </c>
      <c r="AN97" s="99"/>
    </row>
    <row r="98" spans="4:47">
      <c r="D98" s="2"/>
      <c r="E98" s="3"/>
      <c r="F98" s="96"/>
      <c r="G98" s="96"/>
      <c r="H98" s="96"/>
      <c r="I98" s="96"/>
      <c r="J98" s="96"/>
      <c r="K98" s="96" t="s">
        <v>25</v>
      </c>
      <c r="L98" t="s">
        <v>25</v>
      </c>
      <c r="P98" s="128"/>
      <c r="Q98" s="35">
        <v>3975257</v>
      </c>
      <c r="R98" s="5" t="s">
        <v>4581</v>
      </c>
      <c r="S98" s="5">
        <f>S97-1</f>
        <v>514</v>
      </c>
      <c r="T98" s="5" t="s">
        <v>4582</v>
      </c>
      <c r="U98" s="168">
        <v>173</v>
      </c>
      <c r="V98" s="99">
        <f>U98*(1+$R$83+$Q$15*S98/36500)</f>
        <v>243.84373698630137</v>
      </c>
      <c r="W98" s="32">
        <f t="shared" si="24"/>
        <v>248.72061172602739</v>
      </c>
      <c r="X98" s="32">
        <f t="shared" si="25"/>
        <v>253.59748646575343</v>
      </c>
      <c r="Y98">
        <v>6963</v>
      </c>
      <c r="AH98" s="99">
        <v>78</v>
      </c>
      <c r="AI98" s="113" t="s">
        <v>4503</v>
      </c>
      <c r="AJ98" s="113">
        <v>6400000</v>
      </c>
      <c r="AK98" s="99">
        <v>1</v>
      </c>
      <c r="AL98" s="99">
        <f t="shared" si="26"/>
        <v>425</v>
      </c>
      <c r="AM98" s="117">
        <f t="shared" si="9"/>
        <v>2720000000</v>
      </c>
      <c r="AN98" s="99"/>
    </row>
    <row r="99" spans="4:47">
      <c r="D99" s="2"/>
      <c r="E99" s="3"/>
      <c r="F99" s="96"/>
      <c r="G99" s="96"/>
      <c r="H99" s="96"/>
      <c r="I99" s="96" t="s">
        <v>25</v>
      </c>
      <c r="J99" s="96" t="s">
        <v>25</v>
      </c>
      <c r="K99" s="96" t="s">
        <v>25</v>
      </c>
      <c r="P99" s="128"/>
      <c r="Q99" s="35">
        <v>1031662</v>
      </c>
      <c r="R99" s="5" t="s">
        <v>4224</v>
      </c>
      <c r="S99" s="5">
        <f>S98-1</f>
        <v>513</v>
      </c>
      <c r="T99" s="5" t="s">
        <v>4584</v>
      </c>
      <c r="U99" s="168">
        <v>171.2</v>
      </c>
      <c r="V99" s="99">
        <f>U99*(1+$R$83+$Q$15*S99/36500)</f>
        <v>241.17530301369862</v>
      </c>
      <c r="W99" s="32">
        <f t="shared" si="24"/>
        <v>245.99880907397261</v>
      </c>
      <c r="X99" s="32">
        <f t="shared" si="25"/>
        <v>250.82231513424657</v>
      </c>
      <c r="Y99" s="96">
        <v>0</v>
      </c>
      <c r="AH99" s="99">
        <v>79</v>
      </c>
      <c r="AI99" s="113" t="s">
        <v>4501</v>
      </c>
      <c r="AJ99" s="113">
        <v>5000</v>
      </c>
      <c r="AK99" s="99">
        <v>5</v>
      </c>
      <c r="AL99" s="99">
        <f t="shared" si="26"/>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577500</v>
      </c>
      <c r="R100" s="5" t="s">
        <v>4224</v>
      </c>
      <c r="S100" s="5">
        <f>S99</f>
        <v>513</v>
      </c>
      <c r="T100" s="5" t="s">
        <v>4588</v>
      </c>
      <c r="U100" s="168">
        <v>175</v>
      </c>
      <c r="V100" s="99">
        <f>U100*(1+$R$83+$Q$15*S100/36500)</f>
        <v>246.52849315068494</v>
      </c>
      <c r="W100" s="32">
        <f t="shared" si="24"/>
        <v>251.45906301369865</v>
      </c>
      <c r="X100" s="32">
        <f t="shared" si="25"/>
        <v>256.38963287671237</v>
      </c>
      <c r="Y100" s="96">
        <v>9904</v>
      </c>
      <c r="AH100" s="99">
        <v>80</v>
      </c>
      <c r="AI100" s="113" t="s">
        <v>4533</v>
      </c>
      <c r="AJ100" s="113">
        <v>-1750148</v>
      </c>
      <c r="AK100" s="99">
        <v>1</v>
      </c>
      <c r="AL100" s="99">
        <f t="shared" si="26"/>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12636487</v>
      </c>
      <c r="R101" s="5" t="s">
        <v>3687</v>
      </c>
      <c r="S101" s="5">
        <f>S100-2</f>
        <v>511</v>
      </c>
      <c r="T101" s="5" t="s">
        <v>4591</v>
      </c>
      <c r="U101" s="168">
        <v>172.1</v>
      </c>
      <c r="V101" s="99">
        <f>U101*(1+$R$83+$Q$15*S101/36500)</f>
        <v>242.17911999999998</v>
      </c>
      <c r="W101" s="32">
        <f t="shared" si="24"/>
        <v>247.02270239999999</v>
      </c>
      <c r="X101" s="32">
        <f t="shared" si="25"/>
        <v>251.86628479999999</v>
      </c>
      <c r="Y101" s="96">
        <v>0</v>
      </c>
      <c r="AH101" s="99">
        <v>81</v>
      </c>
      <c r="AI101" s="113" t="s">
        <v>4536</v>
      </c>
      <c r="AJ101" s="113">
        <v>400000</v>
      </c>
      <c r="AK101" s="99">
        <v>0</v>
      </c>
      <c r="AL101" s="99">
        <f t="shared" si="26"/>
        <v>418</v>
      </c>
      <c r="AM101" s="117">
        <f t="shared" si="9"/>
        <v>167200000</v>
      </c>
      <c r="AN101" s="99"/>
    </row>
    <row r="102" spans="4:47">
      <c r="F102" s="96"/>
      <c r="G102" s="96"/>
      <c r="H102" s="96"/>
      <c r="I102" s="96"/>
      <c r="J102" s="96" t="s">
        <v>25</v>
      </c>
      <c r="K102" s="96"/>
      <c r="L102" s="96"/>
      <c r="M102" s="96"/>
      <c r="N102" s="96"/>
      <c r="Q102" s="39">
        <v>11121445</v>
      </c>
      <c r="R102" s="5" t="s">
        <v>4594</v>
      </c>
      <c r="S102" s="5">
        <f>S101-3</f>
        <v>508</v>
      </c>
      <c r="T102" s="5" t="s">
        <v>4759</v>
      </c>
      <c r="U102" s="168">
        <v>171.8</v>
      </c>
      <c r="V102" s="99">
        <f>U102*(1+$R$83+$Q$15*S102/36500)</f>
        <v>241.36158465753428</v>
      </c>
      <c r="W102" s="32">
        <f t="shared" si="24"/>
        <v>246.18881635068496</v>
      </c>
      <c r="X102" s="32">
        <f t="shared" si="25"/>
        <v>251.01604804383567</v>
      </c>
      <c r="Y102" s="96">
        <v>0</v>
      </c>
      <c r="AH102" s="99">
        <v>82</v>
      </c>
      <c r="AI102" s="113" t="s">
        <v>4536</v>
      </c>
      <c r="AJ102" s="113">
        <v>-2105421</v>
      </c>
      <c r="AK102" s="99">
        <v>1</v>
      </c>
      <c r="AL102" s="99">
        <f t="shared" si="26"/>
        <v>418</v>
      </c>
      <c r="AM102" s="117">
        <f t="shared" si="9"/>
        <v>-880065978</v>
      </c>
      <c r="AN102" s="99"/>
      <c r="AO102" t="s">
        <v>25</v>
      </c>
    </row>
    <row r="103" spans="4:47">
      <c r="F103" s="96"/>
      <c r="G103" s="96"/>
      <c r="H103" s="96"/>
      <c r="I103" s="96"/>
      <c r="J103" s="96" t="s">
        <v>25</v>
      </c>
      <c r="K103" t="s">
        <v>25</v>
      </c>
      <c r="L103" s="96"/>
      <c r="M103" s="96"/>
      <c r="N103" s="96"/>
      <c r="Q103" s="169">
        <v>6150141</v>
      </c>
      <c r="R103" s="213" t="s">
        <v>4834</v>
      </c>
      <c r="S103" s="213">
        <f>S102-79</f>
        <v>429</v>
      </c>
      <c r="T103" s="213" t="s">
        <v>4840</v>
      </c>
      <c r="U103" s="213">
        <v>180.6</v>
      </c>
      <c r="V103" s="99">
        <f>U103*(1+$R$83+$Q$15*S103/36500)</f>
        <v>242.77983780821918</v>
      </c>
      <c r="W103" s="32">
        <f>V103*(1+$W$19/100)</f>
        <v>247.63543456438356</v>
      </c>
      <c r="X103" s="32">
        <f>V103*(1+$X$19/100)</f>
        <v>252.49103132054796</v>
      </c>
      <c r="Y103" s="96">
        <v>10000</v>
      </c>
      <c r="AH103" s="99">
        <v>83</v>
      </c>
      <c r="AI103" s="113" t="s">
        <v>4539</v>
      </c>
      <c r="AJ103" s="113">
        <v>-5527618</v>
      </c>
      <c r="AK103" s="99">
        <v>0</v>
      </c>
      <c r="AL103" s="99">
        <f t="shared" si="26"/>
        <v>417</v>
      </c>
      <c r="AM103" s="117">
        <f t="shared" si="9"/>
        <v>-2305016706</v>
      </c>
      <c r="AN103" s="99"/>
    </row>
    <row r="104" spans="4:47">
      <c r="J104" t="s">
        <v>25</v>
      </c>
      <c r="Q104" s="169">
        <v>1399908</v>
      </c>
      <c r="R104" s="213" t="s">
        <v>4901</v>
      </c>
      <c r="S104" s="213">
        <f>S103-20</f>
        <v>409</v>
      </c>
      <c r="T104" s="213" t="s">
        <v>4902</v>
      </c>
      <c r="U104" s="213">
        <v>194</v>
      </c>
      <c r="V104" s="99">
        <f>U104*(1+$R$83+$Q$15*S104/36500)</f>
        <v>257.81696438356164</v>
      </c>
      <c r="W104" s="32">
        <f>V104*(1+$W$19/100)</f>
        <v>262.97330367123288</v>
      </c>
      <c r="X104" s="32">
        <f>V104*(1+$X$19/100)</f>
        <v>268.12964295890413</v>
      </c>
      <c r="Y104" s="96">
        <v>5664</v>
      </c>
      <c r="AH104" s="99">
        <v>84</v>
      </c>
      <c r="AI104" s="113" t="s">
        <v>4539</v>
      </c>
      <c r="AJ104" s="113">
        <v>3900000</v>
      </c>
      <c r="AK104" s="99">
        <v>3</v>
      </c>
      <c r="AL104" s="99">
        <f t="shared" si="26"/>
        <v>417</v>
      </c>
      <c r="AM104" s="117">
        <f t="shared" si="9"/>
        <v>1626300000</v>
      </c>
      <c r="AN104" s="99"/>
    </row>
    <row r="105" spans="4:47">
      <c r="Q105" s="169">
        <v>1204033</v>
      </c>
      <c r="R105" s="213" t="s">
        <v>4911</v>
      </c>
      <c r="S105" s="213">
        <f>S104-7</f>
        <v>402</v>
      </c>
      <c r="T105" s="213" t="s">
        <v>4914</v>
      </c>
      <c r="U105" s="213">
        <v>218.5</v>
      </c>
      <c r="V105" s="99">
        <f>U105*(1+$R$83+$Q$15*S105/36500)</f>
        <v>289.20300821917806</v>
      </c>
      <c r="W105" s="32">
        <f>V105*(1+$W$19/100)</f>
        <v>294.98706838356162</v>
      </c>
      <c r="X105" s="32">
        <f>V105*(1+$X$19/100)</f>
        <v>300.77112854794518</v>
      </c>
      <c r="Y105" s="96">
        <v>10000</v>
      </c>
      <c r="AH105" s="99">
        <v>85</v>
      </c>
      <c r="AI105" s="113" t="s">
        <v>4540</v>
      </c>
      <c r="AJ105" s="113">
        <v>-3969754</v>
      </c>
      <c r="AK105" s="99">
        <v>1</v>
      </c>
      <c r="AL105" s="99">
        <f t="shared" si="26"/>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8382674</v>
      </c>
      <c r="R106" s="213" t="s">
        <v>4921</v>
      </c>
      <c r="S106" s="213">
        <f>S105-7</f>
        <v>395</v>
      </c>
      <c r="T106" s="213" t="s">
        <v>4927</v>
      </c>
      <c r="U106" s="213">
        <v>192</v>
      </c>
      <c r="V106" s="99">
        <f>U106*(1+$R$83+$Q$15*S106/36500)</f>
        <v>253.09703013698635</v>
      </c>
      <c r="W106" s="32">
        <f>V106*(1+$W$19/100)</f>
        <v>258.1589707397261</v>
      </c>
      <c r="X106" s="32">
        <f>V106*(1+$X$19/100)</f>
        <v>263.2209113424658</v>
      </c>
      <c r="Y106" s="96">
        <v>8695</v>
      </c>
      <c r="AA106" t="s">
        <v>25</v>
      </c>
      <c r="AH106" s="99">
        <v>86</v>
      </c>
      <c r="AI106" s="113" t="s">
        <v>4550</v>
      </c>
      <c r="AJ106" s="113">
        <v>-25574455</v>
      </c>
      <c r="AK106" s="99">
        <v>0</v>
      </c>
      <c r="AL106" s="99">
        <f t="shared" si="26"/>
        <v>413</v>
      </c>
      <c r="AM106" s="117">
        <f t="shared" si="9"/>
        <v>-10562249915</v>
      </c>
      <c r="AN106" s="99"/>
      <c r="AP106" t="s">
        <v>25</v>
      </c>
    </row>
    <row r="107" spans="4:47">
      <c r="F107" s="199">
        <f>$L$115/G107</f>
        <v>6297.2292191435772</v>
      </c>
      <c r="G107" s="199">
        <f>P52</f>
        <v>1588</v>
      </c>
      <c r="H107" s="199" t="s">
        <v>4749</v>
      </c>
      <c r="I107" s="199" t="s">
        <v>5390</v>
      </c>
      <c r="J107" s="214" t="s">
        <v>4233</v>
      </c>
      <c r="K107" s="199">
        <v>210</v>
      </c>
      <c r="L107" s="215">
        <f t="shared" ref="L107:L112" si="27">K107*$L$115</f>
        <v>2100000000</v>
      </c>
      <c r="M107" s="215">
        <f>N21+N31+N52+N44</f>
        <v>6390610310.3999996</v>
      </c>
      <c r="N107" s="183">
        <f t="shared" ref="N107:N112" si="28">L107-M107</f>
        <v>-4290610310.3999996</v>
      </c>
      <c r="P107" s="96"/>
      <c r="Q107" s="169">
        <v>104750654</v>
      </c>
      <c r="R107" s="213" t="s">
        <v>4940</v>
      </c>
      <c r="S107" s="213">
        <f>S106-9</f>
        <v>386</v>
      </c>
      <c r="T107" s="213" t="s">
        <v>5549</v>
      </c>
      <c r="U107" s="213">
        <v>193.6</v>
      </c>
      <c r="V107" s="99">
        <f>U107*(1+$R$83+$Q$15*S107/36500)</f>
        <v>253.86953643835616</v>
      </c>
      <c r="W107" s="32">
        <f>V107*(1+$W$19/100)</f>
        <v>258.94692716712331</v>
      </c>
      <c r="X107" s="32">
        <f>V107*(1+$X$19/100)</f>
        <v>264.02431789589042</v>
      </c>
      <c r="Y107" s="96"/>
      <c r="AA107" t="s">
        <v>25</v>
      </c>
      <c r="AH107" s="99">
        <v>87</v>
      </c>
      <c r="AI107" s="113" t="s">
        <v>4550</v>
      </c>
      <c r="AJ107" s="113">
        <v>4000000</v>
      </c>
      <c r="AK107" s="99">
        <v>1</v>
      </c>
      <c r="AL107" s="99">
        <f t="shared" si="26"/>
        <v>413</v>
      </c>
      <c r="AM107" s="117">
        <f t="shared" si="9"/>
        <v>1652000000</v>
      </c>
      <c r="AN107" s="99"/>
    </row>
    <row r="108" spans="4:47">
      <c r="F108" s="213">
        <v>0</v>
      </c>
      <c r="G108" s="213">
        <f>P48</f>
        <v>18326.2</v>
      </c>
      <c r="H108" s="213" t="s">
        <v>4915</v>
      </c>
      <c r="I108" s="213" t="s">
        <v>5391</v>
      </c>
      <c r="J108" s="32" t="s">
        <v>4382</v>
      </c>
      <c r="K108" s="213">
        <v>33</v>
      </c>
      <c r="L108" s="1">
        <f t="shared" si="27"/>
        <v>330000000</v>
      </c>
      <c r="M108" s="1">
        <f>N48+N28+N23</f>
        <v>2819412565.1999998</v>
      </c>
      <c r="N108" s="113">
        <f t="shared" si="28"/>
        <v>-2489412565.1999998</v>
      </c>
      <c r="P108" s="96"/>
      <c r="Q108" s="169">
        <v>7032.8</v>
      </c>
      <c r="R108" s="213" t="s">
        <v>5317</v>
      </c>
      <c r="S108" s="213">
        <f>S107-240</f>
        <v>146</v>
      </c>
      <c r="T108" s="213" t="s">
        <v>5324</v>
      </c>
      <c r="U108" s="213">
        <v>7001.1</v>
      </c>
      <c r="V108" s="99">
        <f>U108*(1+$R$83+$Q$15*S108/36500)</f>
        <v>7891.6399200000014</v>
      </c>
      <c r="W108" s="32">
        <f t="shared" ref="W108:W115" si="29">V108*(1+$W$19/100)</f>
        <v>8049.4727184000012</v>
      </c>
      <c r="X108" s="32">
        <f t="shared" ref="X108:X115" si="30">V108*(1+$X$19/100)</f>
        <v>8207.305516800001</v>
      </c>
      <c r="Y108" s="96"/>
      <c r="AH108" s="99">
        <v>88</v>
      </c>
      <c r="AI108" s="113" t="s">
        <v>991</v>
      </c>
      <c r="AJ108" s="113">
        <v>-5000000</v>
      </c>
      <c r="AK108" s="99">
        <v>2</v>
      </c>
      <c r="AL108" s="99">
        <f t="shared" si="26"/>
        <v>412</v>
      </c>
      <c r="AM108" s="117">
        <f t="shared" si="9"/>
        <v>-2060000000</v>
      </c>
      <c r="AN108" s="99"/>
    </row>
    <row r="109" spans="4:47">
      <c r="F109" s="199">
        <v>0</v>
      </c>
      <c r="G109" s="199">
        <f>P47</f>
        <v>17508</v>
      </c>
      <c r="H109" s="199" t="s">
        <v>5039</v>
      </c>
      <c r="I109" s="199" t="s">
        <v>5392</v>
      </c>
      <c r="J109" s="214" t="s">
        <v>4378</v>
      </c>
      <c r="K109" s="199">
        <v>0</v>
      </c>
      <c r="L109" s="215">
        <f t="shared" si="27"/>
        <v>0</v>
      </c>
      <c r="M109" s="215">
        <f>N47+N25</f>
        <v>182713488</v>
      </c>
      <c r="N109" s="183">
        <f t="shared" si="28"/>
        <v>-182713488</v>
      </c>
      <c r="P109" s="96"/>
      <c r="Q109" s="169">
        <v>4038752</v>
      </c>
      <c r="R109" s="213" t="s">
        <v>5329</v>
      </c>
      <c r="S109" s="213">
        <f>S108-6</f>
        <v>140</v>
      </c>
      <c r="T109" s="213" t="s">
        <v>5330</v>
      </c>
      <c r="U109" s="213">
        <v>7310</v>
      </c>
      <c r="V109" s="99">
        <f>U109*(1+$R$83+$Q$15*S109/36500)</f>
        <v>8206.1859726027396</v>
      </c>
      <c r="W109" s="32">
        <f t="shared" si="29"/>
        <v>8370.3096920547941</v>
      </c>
      <c r="X109" s="32">
        <f t="shared" si="30"/>
        <v>8534.4334115068486</v>
      </c>
      <c r="Y109" s="96"/>
      <c r="AD109" s="96"/>
      <c r="AE109"/>
      <c r="AF109"/>
      <c r="AH109" s="99">
        <v>89</v>
      </c>
      <c r="AI109" s="113" t="s">
        <v>4554</v>
      </c>
      <c r="AJ109" s="113">
        <v>10000000</v>
      </c>
      <c r="AK109" s="99">
        <v>4</v>
      </c>
      <c r="AL109" s="99">
        <f t="shared" si="26"/>
        <v>410</v>
      </c>
      <c r="AM109" s="117">
        <f t="shared" si="9"/>
        <v>4100000000</v>
      </c>
      <c r="AN109" s="99"/>
    </row>
    <row r="110" spans="4:47">
      <c r="F110" s="189"/>
      <c r="G110" s="189"/>
      <c r="H110" s="189"/>
      <c r="I110" s="189"/>
      <c r="J110" s="281" t="s">
        <v>5393</v>
      </c>
      <c r="K110" s="189">
        <v>0</v>
      </c>
      <c r="L110" s="282">
        <f t="shared" si="27"/>
        <v>0</v>
      </c>
      <c r="M110" s="282">
        <f>N20+N27+N42</f>
        <v>542971485</v>
      </c>
      <c r="N110" s="188">
        <f t="shared" si="28"/>
        <v>-542971485</v>
      </c>
      <c r="P110" s="96"/>
      <c r="Q110" s="169">
        <v>632415</v>
      </c>
      <c r="R110" s="213" t="s">
        <v>5337</v>
      </c>
      <c r="S110" s="213">
        <f>S109-5</f>
        <v>135</v>
      </c>
      <c r="T110" s="213" t="s">
        <v>5339</v>
      </c>
      <c r="U110" s="213">
        <v>7236.3</v>
      </c>
      <c r="V110" s="99">
        <f>U110*(1+$R$83+$Q$15*S110/36500)</f>
        <v>8095.6948832876715</v>
      </c>
      <c r="W110" s="32">
        <f t="shared" si="29"/>
        <v>8257.6087809534256</v>
      </c>
      <c r="X110" s="32">
        <f t="shared" si="30"/>
        <v>8419.5226786191779</v>
      </c>
      <c r="AH110" s="99">
        <v>90</v>
      </c>
      <c r="AI110" s="113" t="s">
        <v>4556</v>
      </c>
      <c r="AJ110" s="113">
        <v>-5241937</v>
      </c>
      <c r="AK110" s="99">
        <v>0</v>
      </c>
      <c r="AL110" s="99">
        <f t="shared" si="26"/>
        <v>406</v>
      </c>
      <c r="AM110" s="117">
        <f t="shared" si="9"/>
        <v>-2128226422</v>
      </c>
      <c r="AN110" s="99"/>
    </row>
    <row r="111" spans="4:47">
      <c r="F111" s="199"/>
      <c r="G111" s="199"/>
      <c r="H111" s="199"/>
      <c r="I111" s="199"/>
      <c r="J111" s="214" t="s">
        <v>314</v>
      </c>
      <c r="K111" s="199">
        <v>1</v>
      </c>
      <c r="L111" s="215">
        <f t="shared" si="27"/>
        <v>10000000</v>
      </c>
      <c r="M111" s="215">
        <v>0</v>
      </c>
      <c r="N111" s="183">
        <f t="shared" si="28"/>
        <v>10000000</v>
      </c>
      <c r="Q111" s="169">
        <v>6417109</v>
      </c>
      <c r="R111" s="213" t="s">
        <v>5340</v>
      </c>
      <c r="S111" s="213">
        <f>S110-1</f>
        <v>134</v>
      </c>
      <c r="T111" s="213" t="s">
        <v>5341</v>
      </c>
      <c r="U111" s="213">
        <v>7097.9</v>
      </c>
      <c r="V111" s="99">
        <f>U111*(1+$R$83+$Q$15*S111/36500)</f>
        <v>7935.4133073972607</v>
      </c>
      <c r="W111" s="32">
        <f t="shared" si="29"/>
        <v>8094.121573545206</v>
      </c>
      <c r="X111" s="32">
        <f t="shared" si="30"/>
        <v>8252.8298396931514</v>
      </c>
      <c r="AH111" s="99">
        <v>91</v>
      </c>
      <c r="AI111" s="113" t="s">
        <v>4556</v>
      </c>
      <c r="AJ111" s="113">
        <v>21900000</v>
      </c>
      <c r="AK111" s="99">
        <v>2</v>
      </c>
      <c r="AL111" s="99">
        <f t="shared" si="26"/>
        <v>406</v>
      </c>
      <c r="AM111" s="117">
        <f t="shared" si="9"/>
        <v>8891400000</v>
      </c>
      <c r="AN111" s="99"/>
      <c r="AP111" t="s">
        <v>25</v>
      </c>
      <c r="AU111"/>
    </row>
    <row r="112" spans="4:47">
      <c r="F112" s="191"/>
      <c r="G112" s="191"/>
      <c r="H112" s="191"/>
      <c r="I112" s="191"/>
      <c r="J112" s="253" t="s">
        <v>5526</v>
      </c>
      <c r="K112" s="191">
        <v>740</v>
      </c>
      <c r="L112" s="254">
        <f t="shared" si="27"/>
        <v>7400000000</v>
      </c>
      <c r="M112" s="254">
        <v>0</v>
      </c>
      <c r="N112" s="86">
        <f t="shared" si="28"/>
        <v>7400000000</v>
      </c>
      <c r="Q112" s="169">
        <v>7802773</v>
      </c>
      <c r="R112" s="213" t="s">
        <v>5344</v>
      </c>
      <c r="S112" s="213">
        <f>S111-1</f>
        <v>133</v>
      </c>
      <c r="T112" s="213" t="s">
        <v>5346</v>
      </c>
      <c r="U112" s="213">
        <v>7100.1</v>
      </c>
      <c r="V112" s="99">
        <f>U112*(1+$R$83+$Q$15*S112/36500)</f>
        <v>7932.4262432876712</v>
      </c>
      <c r="W112" s="32">
        <f t="shared" si="29"/>
        <v>8091.0747681534249</v>
      </c>
      <c r="X112" s="32">
        <f t="shared" si="30"/>
        <v>8249.7232930191785</v>
      </c>
      <c r="Y112">
        <v>13000</v>
      </c>
      <c r="AH112" s="99">
        <v>92</v>
      </c>
      <c r="AI112" s="113" t="s">
        <v>4563</v>
      </c>
      <c r="AJ112" s="113">
        <v>-15000000</v>
      </c>
      <c r="AK112" s="99">
        <v>0</v>
      </c>
      <c r="AL112" s="99">
        <f t="shared" si="26"/>
        <v>404</v>
      </c>
      <c r="AM112" s="117">
        <f t="shared" si="9"/>
        <v>-6060000000</v>
      </c>
      <c r="AN112" s="99"/>
      <c r="AO112" t="s">
        <v>25</v>
      </c>
    </row>
    <row r="113" spans="6:46">
      <c r="F113" s="213"/>
      <c r="G113" s="213"/>
      <c r="H113" s="213"/>
      <c r="I113" s="213"/>
      <c r="J113" s="32" t="s">
        <v>4724</v>
      </c>
      <c r="K113" s="213"/>
      <c r="L113" s="1"/>
      <c r="M113" s="1"/>
      <c r="N113" s="113">
        <f>20000000-L43</f>
        <v>89899915</v>
      </c>
      <c r="O113" t="s">
        <v>25</v>
      </c>
      <c r="Q113" s="169">
        <v>497886</v>
      </c>
      <c r="R113" s="213" t="s">
        <v>5347</v>
      </c>
      <c r="S113" s="213">
        <f>S112-4</f>
        <v>129</v>
      </c>
      <c r="T113" s="213" t="s">
        <v>5348</v>
      </c>
      <c r="U113" s="213">
        <v>6980.8</v>
      </c>
      <c r="V113" s="99">
        <f>U113*(1+$R$83+$Q$15*S113/36500)</f>
        <v>7777.7204778082205</v>
      </c>
      <c r="W113" s="32">
        <f t="shared" si="29"/>
        <v>7933.274887364385</v>
      </c>
      <c r="X113" s="32">
        <f t="shared" si="30"/>
        <v>8088.8292969205495</v>
      </c>
      <c r="Y113" t="s">
        <v>25</v>
      </c>
      <c r="AH113" s="99">
        <v>93</v>
      </c>
      <c r="AI113" s="113" t="s">
        <v>4563</v>
      </c>
      <c r="AJ113" s="113">
        <v>3000000</v>
      </c>
      <c r="AK113" s="99">
        <v>1</v>
      </c>
      <c r="AL113" s="99">
        <f t="shared" si="26"/>
        <v>404</v>
      </c>
      <c r="AM113" s="117">
        <f t="shared" si="9"/>
        <v>1212000000</v>
      </c>
      <c r="AN113" s="99"/>
    </row>
    <row r="114" spans="6:46">
      <c r="F114" s="199"/>
      <c r="G114" s="199"/>
      <c r="H114" s="199"/>
      <c r="I114" s="199"/>
      <c r="J114" s="214" t="s">
        <v>5058</v>
      </c>
      <c r="K114" s="199">
        <f>SUM(K107:K112)</f>
        <v>984</v>
      </c>
      <c r="L114" s="215"/>
      <c r="M114" s="215"/>
      <c r="N114" s="183"/>
      <c r="Q114" s="169">
        <v>4160802</v>
      </c>
      <c r="R114" s="213" t="s">
        <v>995</v>
      </c>
      <c r="S114" s="213">
        <f>S113-2</f>
        <v>127</v>
      </c>
      <c r="T114" s="213" t="s">
        <v>5356</v>
      </c>
      <c r="U114" s="213">
        <v>7092.5</v>
      </c>
      <c r="V114" s="99">
        <f>U114*(1+$R$83+$Q$15*S114/36500)</f>
        <v>7891.2903835616444</v>
      </c>
      <c r="W114" s="32">
        <f t="shared" si="29"/>
        <v>8049.1161912328771</v>
      </c>
      <c r="X114" s="32">
        <f t="shared" si="30"/>
        <v>8206.9419989041107</v>
      </c>
      <c r="Y114" t="s">
        <v>25</v>
      </c>
      <c r="AH114" s="99">
        <v>94</v>
      </c>
      <c r="AI114" s="113" t="s">
        <v>4567</v>
      </c>
      <c r="AJ114" s="113">
        <v>-2103736</v>
      </c>
      <c r="AK114" s="99">
        <v>0</v>
      </c>
      <c r="AL114" s="99">
        <f t="shared" si="26"/>
        <v>403</v>
      </c>
      <c r="AM114" s="117">
        <f t="shared" si="9"/>
        <v>-847805608</v>
      </c>
      <c r="AN114" s="99"/>
    </row>
    <row r="115" spans="6:46">
      <c r="F115" s="213"/>
      <c r="G115" s="213"/>
      <c r="H115" s="213" t="s">
        <v>25</v>
      </c>
      <c r="I115" s="213"/>
      <c r="J115" s="32"/>
      <c r="K115" s="213">
        <v>0</v>
      </c>
      <c r="L115" s="39">
        <f>10*P54</f>
        <v>10000000</v>
      </c>
      <c r="M115" s="1">
        <f>K115*L115</f>
        <v>0</v>
      </c>
      <c r="N115" s="113">
        <f>SUM(N107:N113)-M115</f>
        <v>-5807933.5999994278</v>
      </c>
      <c r="P115" s="114"/>
      <c r="Q115" s="169">
        <v>5397012</v>
      </c>
      <c r="R115" s="213" t="s">
        <v>5357</v>
      </c>
      <c r="S115" s="213">
        <f>S114-1</f>
        <v>126</v>
      </c>
      <c r="T115" s="213" t="s">
        <v>5372</v>
      </c>
      <c r="U115" s="213">
        <v>6923.5</v>
      </c>
      <c r="V115" s="99">
        <f>U115*(1+$R$83+$Q$15*S115/36500)</f>
        <v>7697.9456383561655</v>
      </c>
      <c r="W115" s="32">
        <f t="shared" si="29"/>
        <v>7851.9045511232889</v>
      </c>
      <c r="X115" s="32">
        <f t="shared" si="30"/>
        <v>8005.8634638904123</v>
      </c>
      <c r="AH115" s="99">
        <v>95</v>
      </c>
      <c r="AI115" s="113" t="s">
        <v>4567</v>
      </c>
      <c r="AJ115" s="113">
        <v>220000</v>
      </c>
      <c r="AK115" s="99">
        <v>3</v>
      </c>
      <c r="AL115" s="99">
        <f t="shared" si="26"/>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6908862</v>
      </c>
      <c r="R116" s="213" t="s">
        <v>5370</v>
      </c>
      <c r="S116" s="213">
        <f>S115-11</f>
        <v>115</v>
      </c>
      <c r="T116" s="213" t="s">
        <v>5379</v>
      </c>
      <c r="U116" s="213">
        <v>7301.1</v>
      </c>
      <c r="V116" s="99">
        <f>U116*(1+$R$83+$Q$15*S116/36500)</f>
        <v>8056.1737610958908</v>
      </c>
      <c r="W116" s="32">
        <f t="shared" ref="W116:W121" si="31">V116*(1+$W$19/100)</f>
        <v>8217.2972363178087</v>
      </c>
      <c r="X116" s="32">
        <f t="shared" ref="X116:X121" si="32">V116*(1+$X$19/100)</f>
        <v>8378.4207115397276</v>
      </c>
      <c r="Y116">
        <v>23000</v>
      </c>
      <c r="AH116" s="99">
        <v>96</v>
      </c>
      <c r="AI116" s="113" t="s">
        <v>4576</v>
      </c>
      <c r="AJ116" s="113">
        <v>4000000</v>
      </c>
      <c r="AK116" s="99">
        <v>1</v>
      </c>
      <c r="AL116" s="99">
        <f t="shared" si="26"/>
        <v>400</v>
      </c>
      <c r="AM116" s="117">
        <f t="shared" si="9"/>
        <v>1600000000</v>
      </c>
      <c r="AN116" s="99"/>
    </row>
    <row r="117" spans="6:46">
      <c r="F117" s="213"/>
      <c r="G117" s="213"/>
      <c r="H117" s="213"/>
      <c r="I117" s="213"/>
      <c r="J117" s="32" t="s">
        <v>4643</v>
      </c>
      <c r="K117" s="213"/>
      <c r="L117" s="1"/>
      <c r="M117" s="1"/>
      <c r="N117" s="113"/>
      <c r="Q117" s="169">
        <v>36895962</v>
      </c>
      <c r="R117" s="213" t="s">
        <v>5380</v>
      </c>
      <c r="S117" s="213">
        <f>S116-1</f>
        <v>114</v>
      </c>
      <c r="T117" s="213" t="s">
        <v>5385</v>
      </c>
      <c r="U117" s="213">
        <v>7372.4</v>
      </c>
      <c r="V117" s="99">
        <f>U117*(1+$R$83+$Q$15*S117/36500)</f>
        <v>8129.1920087671233</v>
      </c>
      <c r="W117" s="32">
        <f t="shared" si="31"/>
        <v>8291.775848942465</v>
      </c>
      <c r="X117" s="32">
        <f t="shared" si="32"/>
        <v>8454.3596891178076</v>
      </c>
      <c r="Y117">
        <v>6000</v>
      </c>
      <c r="AH117" s="99">
        <v>97</v>
      </c>
      <c r="AI117" s="113" t="s">
        <v>4581</v>
      </c>
      <c r="AJ117" s="113">
        <v>-9000000</v>
      </c>
      <c r="AK117" s="99">
        <v>0</v>
      </c>
      <c r="AL117" s="99">
        <f t="shared" si="26"/>
        <v>399</v>
      </c>
      <c r="AM117" s="117">
        <f t="shared" si="9"/>
        <v>-3591000000</v>
      </c>
      <c r="AN117" s="99"/>
      <c r="AP117" t="s">
        <v>25</v>
      </c>
    </row>
    <row r="118" spans="6:46">
      <c r="M118" t="s">
        <v>25</v>
      </c>
      <c r="Q118" s="169">
        <v>25972060</v>
      </c>
      <c r="R118" s="213" t="s">
        <v>5394</v>
      </c>
      <c r="S118" s="213">
        <f>S117-3</f>
        <v>111</v>
      </c>
      <c r="T118" s="213" t="s">
        <v>5493</v>
      </c>
      <c r="U118" s="213">
        <v>7557.6</v>
      </c>
      <c r="V118" s="99">
        <f>U118*(1+$R$83+$Q$15*S118/36500)</f>
        <v>8316.0103364383576</v>
      </c>
      <c r="W118" s="32">
        <f t="shared" si="31"/>
        <v>8482.3305431671251</v>
      </c>
      <c r="X118" s="32">
        <f t="shared" si="32"/>
        <v>8648.6507498958927</v>
      </c>
      <c r="AH118" s="99">
        <v>98</v>
      </c>
      <c r="AI118" s="113" t="s">
        <v>4581</v>
      </c>
      <c r="AJ118" s="113">
        <v>13900000</v>
      </c>
      <c r="AK118" s="99">
        <v>2</v>
      </c>
      <c r="AL118" s="99">
        <f t="shared" si="26"/>
        <v>399</v>
      </c>
      <c r="AM118" s="117">
        <f t="shared" si="9"/>
        <v>5546100000</v>
      </c>
      <c r="AN118" s="99"/>
    </row>
    <row r="119" spans="6:46">
      <c r="I119" t="s">
        <v>25</v>
      </c>
      <c r="P119" s="114"/>
      <c r="Q119" s="169">
        <v>29717771</v>
      </c>
      <c r="R119" s="213" t="s">
        <v>5494</v>
      </c>
      <c r="S119" s="213">
        <f>S118-40</f>
        <v>71</v>
      </c>
      <c r="T119" s="213" t="s">
        <v>5496</v>
      </c>
      <c r="U119" s="213">
        <v>7159.6</v>
      </c>
      <c r="V119" s="99">
        <f>U119*(1+$R$83+$Q$15*S119/36500)</f>
        <v>7658.3789282191792</v>
      </c>
      <c r="W119" s="32">
        <f t="shared" si="31"/>
        <v>7811.546506783563</v>
      </c>
      <c r="X119" s="32">
        <f t="shared" si="32"/>
        <v>7964.7140853479468</v>
      </c>
      <c r="Y119">
        <v>3300</v>
      </c>
      <c r="AH119" s="99">
        <v>99</v>
      </c>
      <c r="AI119" s="113" t="s">
        <v>4589</v>
      </c>
      <c r="AJ119" s="113">
        <v>-8127577</v>
      </c>
      <c r="AK119" s="99">
        <v>1</v>
      </c>
      <c r="AL119" s="99">
        <f t="shared" si="26"/>
        <v>397</v>
      </c>
      <c r="AM119" s="117">
        <f t="shared" si="9"/>
        <v>-3226648069</v>
      </c>
      <c r="AN119" s="99"/>
      <c r="AO119" t="s">
        <v>25</v>
      </c>
      <c r="AQ119" t="s">
        <v>25</v>
      </c>
    </row>
    <row r="120" spans="6:46">
      <c r="J120" s="114"/>
      <c r="K120" s="168" t="s">
        <v>4518</v>
      </c>
      <c r="L120" s="168" t="s">
        <v>4519</v>
      </c>
      <c r="M120" s="168" t="s">
        <v>4419</v>
      </c>
      <c r="N120" s="56" t="s">
        <v>190</v>
      </c>
      <c r="Q120" s="169">
        <v>7374741</v>
      </c>
      <c r="R120" s="213" t="s">
        <v>5502</v>
      </c>
      <c r="S120" s="213">
        <f>S119-8</f>
        <v>63</v>
      </c>
      <c r="T120" s="213" t="s">
        <v>5503</v>
      </c>
      <c r="U120" s="213">
        <v>7601</v>
      </c>
      <c r="V120" s="99">
        <f>U120*(1+$R$83+$Q$15*S120/36500)</f>
        <v>8083.8821589041108</v>
      </c>
      <c r="W120" s="32">
        <f t="shared" si="31"/>
        <v>8245.5598020821926</v>
      </c>
      <c r="X120" s="32">
        <f t="shared" si="32"/>
        <v>8407.2374452602762</v>
      </c>
      <c r="AH120" s="99">
        <v>100</v>
      </c>
      <c r="AI120" s="113" t="s">
        <v>3687</v>
      </c>
      <c r="AJ120" s="113">
        <v>15792549</v>
      </c>
      <c r="AK120" s="99">
        <v>3</v>
      </c>
      <c r="AL120" s="99">
        <f t="shared" si="26"/>
        <v>396</v>
      </c>
      <c r="AM120" s="117">
        <f t="shared" si="9"/>
        <v>6253849404</v>
      </c>
      <c r="AN120" s="99"/>
      <c r="AO120" t="s">
        <v>25</v>
      </c>
      <c r="AP120" t="s">
        <v>25</v>
      </c>
    </row>
    <row r="121" spans="6:46">
      <c r="H121" s="114"/>
      <c r="K121" s="168" t="s">
        <v>4233</v>
      </c>
      <c r="L121" s="169">
        <v>1100000</v>
      </c>
      <c r="M121" s="169">
        <v>1637000</v>
      </c>
      <c r="N121" s="168">
        <f t="shared" ref="N121:N129" si="33">(M121-L121)*100/L121</f>
        <v>48.81818181818182</v>
      </c>
      <c r="Q121" s="169">
        <v>2612032</v>
      </c>
      <c r="R121" s="213" t="s">
        <v>5507</v>
      </c>
      <c r="S121" s="213">
        <f>S120-4</f>
        <v>59</v>
      </c>
      <c r="T121" s="213" t="s">
        <v>5508</v>
      </c>
      <c r="U121" s="213">
        <v>8000.7</v>
      </c>
      <c r="V121" s="99">
        <f>U121*(1+$R$83+$Q$15*S121/36500)</f>
        <v>8484.4245139726027</v>
      </c>
      <c r="W121" s="32">
        <f t="shared" si="31"/>
        <v>8654.1130042520545</v>
      </c>
      <c r="X121" s="32">
        <f t="shared" si="32"/>
        <v>8823.8014945315063</v>
      </c>
      <c r="AH121" s="99">
        <v>101</v>
      </c>
      <c r="AI121" s="113" t="s">
        <v>4594</v>
      </c>
      <c r="AJ121" s="113">
        <v>8800000</v>
      </c>
      <c r="AK121" s="99">
        <v>0</v>
      </c>
      <c r="AL121" s="99">
        <f t="shared" ref="AL121:AL126" si="34">AL122+AK121</f>
        <v>393</v>
      </c>
      <c r="AM121" s="117">
        <f t="shared" ref="AM121:AM144" si="35">AJ121*AL121</f>
        <v>3458400000</v>
      </c>
      <c r="AN121" s="99"/>
      <c r="AP121" t="s">
        <v>25</v>
      </c>
    </row>
    <row r="122" spans="6:46" ht="45">
      <c r="F122" s="96"/>
      <c r="G122" s="213"/>
      <c r="H122" s="213" t="s">
        <v>5645</v>
      </c>
      <c r="I122" s="213" t="s">
        <v>5490</v>
      </c>
      <c r="J122" s="1">
        <v>79922415</v>
      </c>
      <c r="K122" s="5" t="s">
        <v>4513</v>
      </c>
      <c r="L122" s="169">
        <v>1100000</v>
      </c>
      <c r="M122" s="169">
        <v>4748000</v>
      </c>
      <c r="N122" s="168">
        <f t="shared" si="33"/>
        <v>331.63636363636363</v>
      </c>
      <c r="Q122" s="169">
        <v>6180139</v>
      </c>
      <c r="R122" s="213" t="s">
        <v>5511</v>
      </c>
      <c r="S122" s="213">
        <f>S121-2</f>
        <v>57</v>
      </c>
      <c r="T122" s="213" t="s">
        <v>5513</v>
      </c>
      <c r="U122" s="213">
        <v>8485.7999999999993</v>
      </c>
      <c r="V122" s="99">
        <f>U122*(1+$R$83+$Q$15*S122/36500)</f>
        <v>8985.8344832876701</v>
      </c>
      <c r="W122" s="32">
        <f t="shared" ref="W122:W127" si="36">V122*(1+$W$19/100)</f>
        <v>9165.5511729534228</v>
      </c>
      <c r="X122" s="32">
        <f t="shared" ref="X122:X127" si="37">V122*(1+$X$19/100)</f>
        <v>9345.2678626191773</v>
      </c>
      <c r="Y122" t="s">
        <v>25</v>
      </c>
      <c r="AH122" s="121">
        <v>102</v>
      </c>
      <c r="AI122" s="79" t="s">
        <v>4594</v>
      </c>
      <c r="AJ122" s="79">
        <v>13071612</v>
      </c>
      <c r="AK122" s="121">
        <v>1</v>
      </c>
      <c r="AL122" s="121">
        <f t="shared" si="34"/>
        <v>393</v>
      </c>
      <c r="AM122" s="79">
        <f t="shared" si="35"/>
        <v>5137143516</v>
      </c>
      <c r="AN122" s="205" t="s">
        <v>4595</v>
      </c>
    </row>
    <row r="123" spans="6:46">
      <c r="F123" s="96"/>
      <c r="G123" s="213" t="s">
        <v>938</v>
      </c>
      <c r="H123" s="213" t="s">
        <v>4518</v>
      </c>
      <c r="I123" s="213" t="s">
        <v>934</v>
      </c>
      <c r="J123" s="213" t="s">
        <v>4722</v>
      </c>
      <c r="K123" s="5" t="s">
        <v>4514</v>
      </c>
      <c r="L123" s="169">
        <v>1100000</v>
      </c>
      <c r="M123" s="169">
        <v>5137000</v>
      </c>
      <c r="N123" s="168">
        <f t="shared" si="33"/>
        <v>367</v>
      </c>
      <c r="Q123" s="169">
        <v>17185077</v>
      </c>
      <c r="R123" s="213" t="s">
        <v>5512</v>
      </c>
      <c r="S123" s="213">
        <f>S122-1</f>
        <v>56</v>
      </c>
      <c r="T123" s="213" t="s">
        <v>5517</v>
      </c>
      <c r="U123" s="213">
        <v>8377.7999999999993</v>
      </c>
      <c r="V123" s="99">
        <f>U123*(1+$R$83+$Q$15*S123/36500)</f>
        <v>8865.0436668493148</v>
      </c>
      <c r="W123" s="32">
        <f t="shared" si="36"/>
        <v>9042.3445401863009</v>
      </c>
      <c r="X123" s="32">
        <f t="shared" si="37"/>
        <v>9219.6454135232871</v>
      </c>
      <c r="Y123" t="s">
        <v>25</v>
      </c>
      <c r="AH123" s="89">
        <v>103</v>
      </c>
      <c r="AI123" s="90" t="s">
        <v>4598</v>
      </c>
      <c r="AJ123" s="90">
        <v>16727037</v>
      </c>
      <c r="AK123" s="89">
        <v>0</v>
      </c>
      <c r="AL123" s="89">
        <f t="shared" si="34"/>
        <v>392</v>
      </c>
      <c r="AM123" s="90">
        <f t="shared" si="35"/>
        <v>6556998504</v>
      </c>
      <c r="AN123" s="89" t="s">
        <v>4605</v>
      </c>
    </row>
    <row r="124" spans="6:46">
      <c r="F124" s="96"/>
      <c r="G124" s="1">
        <f>P52</f>
        <v>1588</v>
      </c>
      <c r="H124" s="213" t="s">
        <v>4233</v>
      </c>
      <c r="I124" s="213">
        <v>241029</v>
      </c>
      <c r="J124" s="1">
        <f>I124*G124</f>
        <v>382754052</v>
      </c>
      <c r="K124" s="19" t="s">
        <v>4378</v>
      </c>
      <c r="L124" s="169">
        <v>1100000</v>
      </c>
      <c r="M124" s="169">
        <v>4300000</v>
      </c>
      <c r="N124" s="168">
        <f t="shared" si="33"/>
        <v>290.90909090909093</v>
      </c>
      <c r="Q124" s="169">
        <v>83684098</v>
      </c>
      <c r="R124" s="213" t="s">
        <v>5515</v>
      </c>
      <c r="S124" s="213">
        <f>S123-1</f>
        <v>55</v>
      </c>
      <c r="T124" s="213" t="s">
        <v>5518</v>
      </c>
      <c r="U124" s="213">
        <v>8337.2999999999993</v>
      </c>
      <c r="V124" s="99">
        <f>U124*(1+$R$83+$Q$15*S124/36500)</f>
        <v>8815.7924942465761</v>
      </c>
      <c r="W124" s="32">
        <f t="shared" si="36"/>
        <v>8992.1083441315077</v>
      </c>
      <c r="X124" s="32">
        <f t="shared" si="37"/>
        <v>9168.4241940164393</v>
      </c>
      <c r="Y124" s="122" t="s">
        <v>25</v>
      </c>
      <c r="AH124" s="99">
        <v>104</v>
      </c>
      <c r="AI124" s="113" t="s">
        <v>4598</v>
      </c>
      <c r="AJ124" s="113">
        <v>12000000</v>
      </c>
      <c r="AK124" s="99">
        <v>1</v>
      </c>
      <c r="AL124" s="99">
        <f t="shared" si="34"/>
        <v>392</v>
      </c>
      <c r="AM124" s="117">
        <f t="shared" si="35"/>
        <v>4704000000</v>
      </c>
      <c r="AN124" s="99" t="s">
        <v>4606</v>
      </c>
    </row>
    <row r="125" spans="6:46">
      <c r="F125" s="96"/>
      <c r="G125" s="1">
        <f>P48</f>
        <v>18326.2</v>
      </c>
      <c r="H125" s="213" t="s">
        <v>4382</v>
      </c>
      <c r="I125" s="213">
        <v>2535</v>
      </c>
      <c r="J125" s="1">
        <f>I125*G125</f>
        <v>46456917</v>
      </c>
      <c r="K125" s="5" t="s">
        <v>4396</v>
      </c>
      <c r="L125" s="169">
        <v>1100000</v>
      </c>
      <c r="M125" s="169">
        <v>3191000</v>
      </c>
      <c r="N125" s="168">
        <f t="shared" si="33"/>
        <v>190.09090909090909</v>
      </c>
      <c r="Q125" s="169">
        <v>1131325.9005020538</v>
      </c>
      <c r="R125" s="213" t="s">
        <v>5523</v>
      </c>
      <c r="S125" s="213">
        <f>S124-3</f>
        <v>52</v>
      </c>
      <c r="T125" s="213" t="s">
        <v>5680</v>
      </c>
      <c r="U125" s="213">
        <v>8280.2000000000007</v>
      </c>
      <c r="V125" s="99">
        <f>U125*(1+$R$83+$Q$15*S125/36500)</f>
        <v>8736.3596208219187</v>
      </c>
      <c r="W125" s="32">
        <f t="shared" si="36"/>
        <v>8911.0868132383566</v>
      </c>
      <c r="X125" s="32">
        <f t="shared" si="37"/>
        <v>9085.8140056547963</v>
      </c>
      <c r="Z125" t="s">
        <v>25</v>
      </c>
      <c r="AH125" s="89">
        <v>105</v>
      </c>
      <c r="AI125" s="90" t="s">
        <v>4529</v>
      </c>
      <c r="AJ125" s="90">
        <v>88697667</v>
      </c>
      <c r="AK125" s="89">
        <v>1</v>
      </c>
      <c r="AL125" s="89">
        <f t="shared" si="34"/>
        <v>391</v>
      </c>
      <c r="AM125" s="90">
        <f t="shared" si="35"/>
        <v>34680787797</v>
      </c>
      <c r="AN125" s="89" t="s">
        <v>4607</v>
      </c>
      <c r="AP125" t="s">
        <v>25</v>
      </c>
    </row>
    <row r="126" spans="6:46">
      <c r="F126" s="96"/>
      <c r="G126" s="1"/>
      <c r="H126" s="213" t="s">
        <v>25</v>
      </c>
      <c r="I126" s="213"/>
      <c r="J126" s="1"/>
      <c r="K126" s="5" t="s">
        <v>4515</v>
      </c>
      <c r="L126" s="169">
        <v>1100000</v>
      </c>
      <c r="M126" s="169">
        <v>5623000</v>
      </c>
      <c r="N126" s="168">
        <f t="shared" si="33"/>
        <v>411.18181818181819</v>
      </c>
      <c r="Q126" s="169">
        <v>51910020</v>
      </c>
      <c r="R126" s="213" t="s">
        <v>5523</v>
      </c>
      <c r="S126" s="213">
        <f>S125</f>
        <v>52</v>
      </c>
      <c r="T126" s="213" t="s">
        <v>5524</v>
      </c>
      <c r="U126" s="213">
        <v>8758.5</v>
      </c>
      <c r="V126" s="99">
        <f>U126*(1+$R$83+$Q$15*S126/36500)</f>
        <v>9241.0093643835608</v>
      </c>
      <c r="W126" s="32">
        <f t="shared" si="36"/>
        <v>9425.8295516712315</v>
      </c>
      <c r="X126" s="32">
        <f t="shared" si="37"/>
        <v>9610.649738958904</v>
      </c>
      <c r="Y126" t="s">
        <v>25</v>
      </c>
      <c r="AH126" s="99">
        <v>106</v>
      </c>
      <c r="AI126" s="113" t="s">
        <v>4532</v>
      </c>
      <c r="AJ126" s="113">
        <v>101000</v>
      </c>
      <c r="AK126" s="99">
        <v>0</v>
      </c>
      <c r="AL126" s="99">
        <f t="shared" si="34"/>
        <v>390</v>
      </c>
      <c r="AM126" s="117">
        <f t="shared" si="35"/>
        <v>39390000</v>
      </c>
      <c r="AN126" s="99"/>
      <c r="AQ126" t="s">
        <v>25</v>
      </c>
    </row>
    <row r="127" spans="6:46">
      <c r="F127" s="96"/>
      <c r="G127" s="213"/>
      <c r="H127" s="213"/>
      <c r="I127" s="188">
        <f>J127-J122</f>
        <v>349288554</v>
      </c>
      <c r="J127" s="1">
        <f>SUM(J124:J126)</f>
        <v>429210969</v>
      </c>
      <c r="K127" s="19" t="s">
        <v>4382</v>
      </c>
      <c r="L127" s="169">
        <v>1100000</v>
      </c>
      <c r="M127" s="169">
        <v>7728000</v>
      </c>
      <c r="N127" s="168">
        <f t="shared" si="33"/>
        <v>602.5454545454545</v>
      </c>
      <c r="Q127" s="169">
        <v>15223196.506844705</v>
      </c>
      <c r="R127" s="213" t="s">
        <v>5527</v>
      </c>
      <c r="S127" s="213">
        <f>S126-1</f>
        <v>51</v>
      </c>
      <c r="T127" s="213" t="s">
        <v>5578</v>
      </c>
      <c r="U127" s="213">
        <v>9036.6</v>
      </c>
      <c r="V127" s="99">
        <f>U127*(1+$R$83+$Q$15*S127/36500)</f>
        <v>9527.4978213698632</v>
      </c>
      <c r="W127" s="32">
        <f t="shared" si="36"/>
        <v>9718.047777797261</v>
      </c>
      <c r="X127" s="32">
        <f t="shared" si="37"/>
        <v>9908.5977342246588</v>
      </c>
      <c r="AH127" s="149">
        <v>107</v>
      </c>
      <c r="AI127" s="188" t="s">
        <v>4604</v>
      </c>
      <c r="AJ127" s="188">
        <v>-48200</v>
      </c>
      <c r="AK127" s="149">
        <v>0</v>
      </c>
      <c r="AL127" s="149">
        <f t="shared" ref="AL127:AL177" si="38">AL128+AK127</f>
        <v>390</v>
      </c>
      <c r="AM127" s="188">
        <f t="shared" si="35"/>
        <v>-18798000</v>
      </c>
      <c r="AN127" s="149" t="s">
        <v>4612</v>
      </c>
    </row>
    <row r="128" spans="6:46">
      <c r="F128" s="96"/>
      <c r="G128" s="213"/>
      <c r="H128" s="213"/>
      <c r="I128" s="213" t="s">
        <v>914</v>
      </c>
      <c r="J128" s="213" t="s">
        <v>6</v>
      </c>
      <c r="K128" s="5" t="s">
        <v>4517</v>
      </c>
      <c r="L128" s="169">
        <v>1100000</v>
      </c>
      <c r="M128" s="169">
        <v>2904000</v>
      </c>
      <c r="N128" s="168">
        <f t="shared" si="33"/>
        <v>164</v>
      </c>
      <c r="Q128" s="169">
        <v>7224034</v>
      </c>
      <c r="R128" s="213" t="s">
        <v>5548</v>
      </c>
      <c r="S128" s="213">
        <f>S127-16</f>
        <v>35</v>
      </c>
      <c r="T128" s="213" t="s">
        <v>5554</v>
      </c>
      <c r="U128" s="213">
        <v>1044.7</v>
      </c>
      <c r="V128" s="99">
        <f>U128*(1+$R$83+$Q$15*S128/36500)</f>
        <v>1088.628919452055</v>
      </c>
      <c r="W128" s="32">
        <f>V128*(1+$W$19/100)</f>
        <v>1110.4014978410962</v>
      </c>
      <c r="X128" s="32">
        <f>V128*(1+$X$19/100)</f>
        <v>1132.1740762301372</v>
      </c>
      <c r="AH128" s="89">
        <v>108</v>
      </c>
      <c r="AI128" s="90" t="s">
        <v>4604</v>
      </c>
      <c r="AJ128" s="90">
        <v>39327293</v>
      </c>
      <c r="AK128" s="89">
        <v>4</v>
      </c>
      <c r="AL128" s="149">
        <f t="shared" si="38"/>
        <v>390</v>
      </c>
      <c r="AM128" s="188">
        <f t="shared" si="35"/>
        <v>15337644270</v>
      </c>
      <c r="AN128" s="89" t="s">
        <v>4613</v>
      </c>
    </row>
    <row r="129" spans="7:43">
      <c r="G129" s="41"/>
      <c r="H129" s="41"/>
      <c r="I129" s="41"/>
      <c r="J129" s="41"/>
      <c r="K129" s="259" t="s">
        <v>1082</v>
      </c>
      <c r="L129" s="169">
        <v>1100000</v>
      </c>
      <c r="M129" s="169">
        <v>3400000</v>
      </c>
      <c r="N129" s="168">
        <f t="shared" si="33"/>
        <v>209.09090909090909</v>
      </c>
      <c r="Q129" s="169">
        <v>5032020</v>
      </c>
      <c r="R129" s="213" t="s">
        <v>5559</v>
      </c>
      <c r="S129" s="213">
        <f>S128-1</f>
        <v>34</v>
      </c>
      <c r="T129" s="213" t="s">
        <v>5561</v>
      </c>
      <c r="U129" s="213">
        <v>1022.2</v>
      </c>
      <c r="V129" s="99">
        <f>U129*(1+$R$83+$Q$15*S129/36500)</f>
        <v>1064.3986564383563</v>
      </c>
      <c r="W129" s="32">
        <f>V129*(1+$W$19/100)</f>
        <v>1085.6866295671234</v>
      </c>
      <c r="X129" s="32">
        <f>V129*(1+$X$19/100)</f>
        <v>1106.9746026958906</v>
      </c>
      <c r="Y129" t="s">
        <v>25</v>
      </c>
      <c r="Z129" t="s">
        <v>25</v>
      </c>
      <c r="AH129" s="89">
        <v>109</v>
      </c>
      <c r="AI129" s="90" t="s">
        <v>4627</v>
      </c>
      <c r="AJ129" s="90">
        <v>8749050</v>
      </c>
      <c r="AK129" s="89">
        <v>1</v>
      </c>
      <c r="AL129" s="89">
        <f t="shared" si="38"/>
        <v>386</v>
      </c>
      <c r="AM129" s="90">
        <f t="shared" si="35"/>
        <v>3377133300</v>
      </c>
      <c r="AN129" s="89" t="s">
        <v>4628</v>
      </c>
    </row>
    <row r="130" spans="7:43">
      <c r="G130" s="213"/>
      <c r="H130" s="213" t="s">
        <v>5607</v>
      </c>
      <c r="I130" s="213" t="s">
        <v>5633</v>
      </c>
      <c r="J130" s="1">
        <v>36319143</v>
      </c>
      <c r="K130" s="240" t="s">
        <v>5464</v>
      </c>
      <c r="Q130" s="169">
        <v>342868997.86655331</v>
      </c>
      <c r="R130" s="213" t="s">
        <v>5564</v>
      </c>
      <c r="S130" s="213">
        <f>S129-4</f>
        <v>30</v>
      </c>
      <c r="T130" s="213" t="s">
        <v>5646</v>
      </c>
      <c r="U130" s="213">
        <v>1055</v>
      </c>
      <c r="V130" s="99">
        <f>U130*(1+$R$83+$Q$15*S130/36500)</f>
        <v>1095.3154520547946</v>
      </c>
      <c r="W130" s="32">
        <f>V130*(1+$W$19/100)</f>
        <v>1117.2217610958905</v>
      </c>
      <c r="X130" s="32">
        <f>V130*(1+$X$19/100)</f>
        <v>1139.1280701369865</v>
      </c>
      <c r="Z130" t="s">
        <v>25</v>
      </c>
      <c r="AH130" s="99">
        <v>110</v>
      </c>
      <c r="AI130" s="113" t="s">
        <v>4629</v>
      </c>
      <c r="AJ130" s="113">
        <v>60000</v>
      </c>
      <c r="AK130" s="99">
        <v>1</v>
      </c>
      <c r="AL130" s="99">
        <f t="shared" si="38"/>
        <v>385</v>
      </c>
      <c r="AM130" s="117">
        <f t="shared" si="35"/>
        <v>23100000</v>
      </c>
      <c r="AN130" s="99" t="s">
        <v>4630</v>
      </c>
    </row>
    <row r="131" spans="7:43">
      <c r="G131" s="1">
        <f>P52</f>
        <v>1588</v>
      </c>
      <c r="H131" s="213" t="s">
        <v>4233</v>
      </c>
      <c r="I131" s="213">
        <v>68595</v>
      </c>
      <c r="J131" s="1">
        <f>G131*I131</f>
        <v>108928860</v>
      </c>
      <c r="K131" s="240" t="s">
        <v>4546</v>
      </c>
      <c r="Q131" s="169">
        <v>293172.34893992933</v>
      </c>
      <c r="R131" s="213" t="s">
        <v>5579</v>
      </c>
      <c r="S131" s="213">
        <f>S130-10</f>
        <v>20</v>
      </c>
      <c r="T131" s="213" t="s">
        <v>5657</v>
      </c>
      <c r="U131" s="213">
        <v>11673.9</v>
      </c>
      <c r="V131" s="99">
        <f>U131*(1+$R$83+$Q$15*S131/36500)</f>
        <v>12030.449690958905</v>
      </c>
      <c r="W131" s="32">
        <f t="shared" ref="W131:W132" si="39">V131*(1+$W$19/100)</f>
        <v>12271.058684778083</v>
      </c>
      <c r="X131" s="32">
        <f t="shared" ref="X131:X132" si="40">V131*(1+$X$19/100)</f>
        <v>12511.667678597261</v>
      </c>
      <c r="Y131" t="s">
        <v>25</v>
      </c>
      <c r="AH131" s="20">
        <v>111</v>
      </c>
      <c r="AI131" s="117" t="s">
        <v>4638</v>
      </c>
      <c r="AJ131" s="117">
        <v>4750000</v>
      </c>
      <c r="AK131" s="20">
        <v>0</v>
      </c>
      <c r="AL131" s="99">
        <f t="shared" si="38"/>
        <v>384</v>
      </c>
      <c r="AM131" s="117">
        <f t="shared" si="35"/>
        <v>1824000000</v>
      </c>
      <c r="AN131" s="20"/>
      <c r="AQ131" t="s">
        <v>25</v>
      </c>
    </row>
    <row r="132" spans="7:43">
      <c r="G132" s="213">
        <f>P48</f>
        <v>18326.2</v>
      </c>
      <c r="H132" s="213" t="s">
        <v>4382</v>
      </c>
      <c r="I132" s="213">
        <v>1703</v>
      </c>
      <c r="J132" s="1">
        <f>G132*I132</f>
        <v>31209518.600000001</v>
      </c>
      <c r="K132" s="240" t="s">
        <v>4547</v>
      </c>
      <c r="P132" t="s">
        <v>25</v>
      </c>
      <c r="Q132" s="169">
        <v>372863</v>
      </c>
      <c r="R132" s="213" t="s">
        <v>5606</v>
      </c>
      <c r="S132" s="213">
        <f>S131-7</f>
        <v>13</v>
      </c>
      <c r="T132" s="213" t="s">
        <v>5629</v>
      </c>
      <c r="U132" s="213">
        <v>6511.9</v>
      </c>
      <c r="V132" s="99">
        <f>U132*(1+$R$83+$Q$15*S132/36500)</f>
        <v>6675.8214717808223</v>
      </c>
      <c r="W132" s="32">
        <f t="shared" si="39"/>
        <v>6809.3379012164387</v>
      </c>
      <c r="X132" s="32">
        <f t="shared" si="40"/>
        <v>6942.8543306520551</v>
      </c>
      <c r="Y132" t="s">
        <v>25</v>
      </c>
      <c r="AH132" s="89">
        <v>112</v>
      </c>
      <c r="AI132" s="90" t="s">
        <v>4638</v>
      </c>
      <c r="AJ132" s="90">
        <v>13101160</v>
      </c>
      <c r="AK132" s="89">
        <v>1</v>
      </c>
      <c r="AL132" s="89">
        <f t="shared" si="38"/>
        <v>384</v>
      </c>
      <c r="AM132" s="90">
        <f t="shared" si="35"/>
        <v>5030845440</v>
      </c>
      <c r="AN132" s="89" t="s">
        <v>4641</v>
      </c>
    </row>
    <row r="133" spans="7:43">
      <c r="G133" s="213"/>
      <c r="H133" s="213"/>
      <c r="I133" s="188">
        <f>J133-J130</f>
        <v>103819235.59999999</v>
      </c>
      <c r="J133" s="1">
        <f>SUM(J131:J132)</f>
        <v>140138378.59999999</v>
      </c>
      <c r="Q133" s="169">
        <v>185842810.65509126</v>
      </c>
      <c r="R133" s="213" t="s">
        <v>5647</v>
      </c>
      <c r="S133" s="213">
        <f>S132-14</f>
        <v>-1</v>
      </c>
      <c r="T133" s="213" t="s">
        <v>5695</v>
      </c>
      <c r="U133" s="213">
        <v>1207.9000000000001</v>
      </c>
      <c r="V133" s="99">
        <f>U133*(1+$R$83+$Q$15*S133/36500)</f>
        <v>1225.3334717808223</v>
      </c>
      <c r="W133" s="32">
        <f t="shared" ref="W133" si="41">V133*(1+$W$19/100)</f>
        <v>1249.8401412164387</v>
      </c>
      <c r="X133" s="32">
        <f t="shared" ref="X133" si="42">V133*(1+$X$19/100)</f>
        <v>1274.3468106520552</v>
      </c>
      <c r="AH133" s="20">
        <v>113</v>
      </c>
      <c r="AI133" s="117" t="s">
        <v>4640</v>
      </c>
      <c r="AJ133" s="117">
        <v>-980000</v>
      </c>
      <c r="AK133" s="20">
        <v>0</v>
      </c>
      <c r="AL133" s="99">
        <f t="shared" si="38"/>
        <v>383</v>
      </c>
      <c r="AM133" s="117">
        <f t="shared" si="35"/>
        <v>-375340000</v>
      </c>
      <c r="AN133" s="20"/>
    </row>
    <row r="134" spans="7:43">
      <c r="G134" s="213"/>
      <c r="H134" s="213"/>
      <c r="I134" s="213" t="s">
        <v>914</v>
      </c>
      <c r="J134" s="213" t="s">
        <v>6</v>
      </c>
      <c r="Q134" s="169">
        <v>69341029</v>
      </c>
      <c r="R134" s="213" t="s">
        <v>5656</v>
      </c>
      <c r="S134" s="213">
        <f>S133-11</f>
        <v>-12</v>
      </c>
      <c r="T134" s="213" t="s">
        <v>5672</v>
      </c>
      <c r="U134" s="213">
        <v>16569.3</v>
      </c>
      <c r="V134" s="99">
        <f>U134*(1+$R$83+$Q$15*S134/36500)</f>
        <v>16668.62500931507</v>
      </c>
      <c r="W134" s="32">
        <f t="shared" ref="W134:W142" si="43">V134*(1+$W$19/100)</f>
        <v>17001.997509501372</v>
      </c>
      <c r="X134" s="32">
        <f t="shared" ref="X134:X142" si="44">V134*(1+$X$19/100)</f>
        <v>17335.370009687675</v>
      </c>
      <c r="Y134" t="s">
        <v>25</v>
      </c>
      <c r="AH134" s="89">
        <v>114</v>
      </c>
      <c r="AI134" s="90" t="s">
        <v>4640</v>
      </c>
      <c r="AJ134" s="90">
        <v>13301790</v>
      </c>
      <c r="AK134" s="89">
        <v>0</v>
      </c>
      <c r="AL134" s="89">
        <f t="shared" si="38"/>
        <v>383</v>
      </c>
      <c r="AM134" s="90">
        <f t="shared" si="35"/>
        <v>5094585570</v>
      </c>
      <c r="AN134" s="89" t="s">
        <v>4641</v>
      </c>
      <c r="AQ134" t="s">
        <v>25</v>
      </c>
    </row>
    <row r="135" spans="7:43">
      <c r="G135" s="41"/>
      <c r="H135" s="41"/>
      <c r="I135" s="41"/>
      <c r="J135" s="41"/>
      <c r="Q135" s="169">
        <v>681345143</v>
      </c>
      <c r="R135" s="213" t="s">
        <v>5675</v>
      </c>
      <c r="S135" s="213">
        <f>S134-6</f>
        <v>-18</v>
      </c>
      <c r="T135" s="213" t="s">
        <v>5677</v>
      </c>
      <c r="U135" s="213">
        <v>17576</v>
      </c>
      <c r="V135" s="99">
        <f>U135*(1+$R$83+$Q$15*S135/36500)</f>
        <v>17600.461939726029</v>
      </c>
      <c r="W135" s="32">
        <f t="shared" si="43"/>
        <v>17952.471178520551</v>
      </c>
      <c r="X135" s="32">
        <f t="shared" si="44"/>
        <v>18304.48041731507</v>
      </c>
      <c r="AH135" s="20">
        <v>115</v>
      </c>
      <c r="AI135" s="117" t="s">
        <v>4640</v>
      </c>
      <c r="AJ135" s="117">
        <v>404000</v>
      </c>
      <c r="AK135" s="20">
        <v>5</v>
      </c>
      <c r="AL135" s="99">
        <f t="shared" si="38"/>
        <v>383</v>
      </c>
      <c r="AM135" s="117">
        <f t="shared" si="35"/>
        <v>154732000</v>
      </c>
      <c r="AN135" s="20" t="s">
        <v>4647</v>
      </c>
    </row>
    <row r="136" spans="7:43">
      <c r="G136" s="213"/>
      <c r="H136" s="213" t="s">
        <v>5647</v>
      </c>
      <c r="I136" s="213" t="s">
        <v>5139</v>
      </c>
      <c r="J136" s="1">
        <v>19795000</v>
      </c>
      <c r="Q136" s="169">
        <v>506650769</v>
      </c>
      <c r="R136" s="213" t="s">
        <v>5679</v>
      </c>
      <c r="S136" s="213">
        <f>S135-1</f>
        <v>-19</v>
      </c>
      <c r="T136" s="213" t="s">
        <v>5687</v>
      </c>
      <c r="U136" s="213">
        <v>17615.900000000001</v>
      </c>
      <c r="V136" s="99">
        <f>U136*(1+$R$83+$Q$15*S136/36500)</f>
        <v>17626.903904657538</v>
      </c>
      <c r="W136" s="32">
        <f t="shared" si="43"/>
        <v>17979.44198275069</v>
      </c>
      <c r="X136" s="32">
        <f t="shared" si="44"/>
        <v>18331.980060843842</v>
      </c>
      <c r="Y136" t="s">
        <v>25</v>
      </c>
      <c r="AH136" s="89">
        <v>116</v>
      </c>
      <c r="AI136" s="90" t="s">
        <v>4657</v>
      </c>
      <c r="AJ136" s="90">
        <v>4291628</v>
      </c>
      <c r="AK136" s="89">
        <v>2</v>
      </c>
      <c r="AL136" s="89">
        <f t="shared" si="38"/>
        <v>378</v>
      </c>
      <c r="AM136" s="90">
        <f t="shared" si="35"/>
        <v>1622235384</v>
      </c>
      <c r="AN136" s="89" t="s">
        <v>4658</v>
      </c>
    </row>
    <row r="137" spans="7:43">
      <c r="G137" s="1">
        <f>P52</f>
        <v>1588</v>
      </c>
      <c r="H137" s="213" t="s">
        <v>4233</v>
      </c>
      <c r="I137" s="213">
        <v>46582</v>
      </c>
      <c r="J137" s="1">
        <f>G137*I137</f>
        <v>73972216</v>
      </c>
      <c r="K137" t="s">
        <v>25</v>
      </c>
      <c r="Q137" s="169"/>
      <c r="R137" s="213" t="s">
        <v>5691</v>
      </c>
      <c r="S137" s="213">
        <f>S136-6</f>
        <v>-25</v>
      </c>
      <c r="T137" s="213" t="s">
        <v>5693</v>
      </c>
      <c r="U137" s="213"/>
      <c r="V137" s="99"/>
      <c r="W137" s="32"/>
      <c r="X137" s="32"/>
      <c r="Y137" t="s">
        <v>25</v>
      </c>
      <c r="Z137" t="s">
        <v>25</v>
      </c>
      <c r="AH137" s="20">
        <v>117</v>
      </c>
      <c r="AI137" s="117" t="s">
        <v>4660</v>
      </c>
      <c r="AJ137" s="117">
        <v>1000</v>
      </c>
      <c r="AK137" s="20">
        <v>5</v>
      </c>
      <c r="AL137" s="20">
        <f t="shared" si="38"/>
        <v>376</v>
      </c>
      <c r="AM137" s="117">
        <f t="shared" si="35"/>
        <v>376000</v>
      </c>
      <c r="AN137" s="20"/>
    </row>
    <row r="138" spans="7:43">
      <c r="G138" s="213"/>
      <c r="H138" s="213" t="s">
        <v>338</v>
      </c>
      <c r="I138" s="213"/>
      <c r="J138" s="1">
        <v>10000000</v>
      </c>
      <c r="Q138" s="169"/>
      <c r="R138" s="213" t="s">
        <v>5691</v>
      </c>
      <c r="S138" s="213">
        <f>S137</f>
        <v>-25</v>
      </c>
      <c r="T138" s="213" t="s">
        <v>5694</v>
      </c>
      <c r="U138" s="213"/>
      <c r="V138" s="99"/>
      <c r="W138" s="32"/>
      <c r="X138" s="32"/>
      <c r="Y138" t="s">
        <v>25</v>
      </c>
      <c r="AH138" s="121">
        <v>118</v>
      </c>
      <c r="AI138" s="79" t="s">
        <v>4668</v>
      </c>
      <c r="AJ138" s="79">
        <v>8739459</v>
      </c>
      <c r="AK138" s="121">
        <v>2</v>
      </c>
      <c r="AL138" s="121">
        <f t="shared" si="38"/>
        <v>371</v>
      </c>
      <c r="AM138" s="79">
        <f t="shared" si="35"/>
        <v>3242339289</v>
      </c>
      <c r="AN138" s="121" t="s">
        <v>4628</v>
      </c>
    </row>
    <row r="139" spans="7:43">
      <c r="G139" s="213"/>
      <c r="H139" s="213"/>
      <c r="I139" s="282">
        <f>J139-J136</f>
        <v>64177216</v>
      </c>
      <c r="J139" s="1">
        <f>SUM(J137:J138)</f>
        <v>83972216</v>
      </c>
      <c r="K139" t="s">
        <v>25</v>
      </c>
      <c r="P139" t="s">
        <v>25</v>
      </c>
      <c r="Q139" s="169"/>
      <c r="R139" s="213"/>
      <c r="S139" s="213"/>
      <c r="T139" s="213"/>
      <c r="U139" s="213"/>
      <c r="V139" s="99"/>
      <c r="W139" s="32"/>
      <c r="X139" s="32"/>
      <c r="AH139" s="121">
        <v>119</v>
      </c>
      <c r="AI139" s="79" t="s">
        <v>4669</v>
      </c>
      <c r="AJ139" s="79">
        <v>17595278</v>
      </c>
      <c r="AK139" s="121">
        <v>1</v>
      </c>
      <c r="AL139" s="121">
        <f t="shared" si="38"/>
        <v>369</v>
      </c>
      <c r="AM139" s="79">
        <f t="shared" si="35"/>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38"/>
        <v>368</v>
      </c>
      <c r="AM140" s="79">
        <f t="shared" si="35"/>
        <v>4907393712</v>
      </c>
      <c r="AN140" s="121" t="s">
        <v>4641</v>
      </c>
    </row>
    <row r="141" spans="7:43">
      <c r="G141" s="181"/>
      <c r="H141" s="181"/>
      <c r="I141" s="181"/>
      <c r="J141" s="181"/>
      <c r="Q141" s="169" t="s">
        <v>25</v>
      </c>
      <c r="R141" s="213"/>
      <c r="S141" s="213"/>
      <c r="T141" s="213"/>
      <c r="U141" s="213"/>
      <c r="V141" s="99">
        <f>U141*(1+$R$83+$Q$15*S141/36500)</f>
        <v>0</v>
      </c>
      <c r="W141" s="32">
        <f t="shared" si="43"/>
        <v>0</v>
      </c>
      <c r="X141" s="32">
        <f t="shared" si="44"/>
        <v>0</v>
      </c>
      <c r="Y141" t="s">
        <v>25</v>
      </c>
      <c r="AA141" t="s">
        <v>25</v>
      </c>
      <c r="AH141" s="161">
        <v>121</v>
      </c>
      <c r="AI141" s="228" t="s">
        <v>4721</v>
      </c>
      <c r="AJ141" s="228">
        <v>50000000</v>
      </c>
      <c r="AK141" s="161">
        <v>11</v>
      </c>
      <c r="AL141" s="161">
        <f t="shared" si="38"/>
        <v>355</v>
      </c>
      <c r="AM141" s="228">
        <f t="shared" si="35"/>
        <v>17750000000</v>
      </c>
      <c r="AN141" s="161" t="s">
        <v>4723</v>
      </c>
      <c r="AP141" t="s">
        <v>25</v>
      </c>
    </row>
    <row r="142" spans="7:43">
      <c r="G142" s="213"/>
      <c r="H142" s="213" t="s">
        <v>5606</v>
      </c>
      <c r="I142" s="213" t="s">
        <v>5620</v>
      </c>
      <c r="J142" s="1">
        <v>150000000</v>
      </c>
      <c r="K142" t="s">
        <v>25</v>
      </c>
      <c r="Q142" s="169"/>
      <c r="R142" s="168"/>
      <c r="S142" s="168"/>
      <c r="T142" s="168"/>
      <c r="U142" s="168"/>
      <c r="V142" s="99">
        <f>U142*(1+$R$83+$Q$15*S142/36500)</f>
        <v>0</v>
      </c>
      <c r="W142" s="32">
        <f t="shared" si="43"/>
        <v>0</v>
      </c>
      <c r="X142" s="32">
        <f t="shared" si="44"/>
        <v>0</v>
      </c>
      <c r="Y142" t="s">
        <v>25</v>
      </c>
      <c r="AH142" s="20">
        <v>122</v>
      </c>
      <c r="AI142" s="117" t="s">
        <v>971</v>
      </c>
      <c r="AJ142" s="117">
        <v>30000</v>
      </c>
      <c r="AK142" s="20">
        <v>3</v>
      </c>
      <c r="AL142" s="20">
        <f t="shared" si="38"/>
        <v>344</v>
      </c>
      <c r="AM142" s="117">
        <f t="shared" si="35"/>
        <v>10320000</v>
      </c>
      <c r="AN142" s="20"/>
    </row>
    <row r="143" spans="7:43">
      <c r="G143" s="1">
        <f>P52</f>
        <v>1588</v>
      </c>
      <c r="H143" s="213" t="s">
        <v>4233</v>
      </c>
      <c r="I143" s="213">
        <v>33318</v>
      </c>
      <c r="J143" s="1">
        <f>G143*I143</f>
        <v>52908984</v>
      </c>
      <c r="P143" t="s">
        <v>25</v>
      </c>
      <c r="Q143" s="113">
        <f>SUM(N44:N54)-SUM(Q87:Q142)</f>
        <v>3692932297.3220682</v>
      </c>
      <c r="R143" s="112"/>
      <c r="S143" s="112"/>
      <c r="T143" s="112"/>
      <c r="U143" s="168"/>
      <c r="V143" s="99" t="s">
        <v>25</v>
      </c>
      <c r="W143" s="32"/>
      <c r="X143" s="32"/>
      <c r="Y143" t="s">
        <v>25</v>
      </c>
      <c r="AH143" s="20">
        <v>123</v>
      </c>
      <c r="AI143" s="117" t="s">
        <v>4783</v>
      </c>
      <c r="AJ143" s="117">
        <v>600000</v>
      </c>
      <c r="AK143" s="20">
        <v>1</v>
      </c>
      <c r="AL143" s="20">
        <f t="shared" si="38"/>
        <v>341</v>
      </c>
      <c r="AM143" s="117">
        <f t="shared" si="35"/>
        <v>204600000</v>
      </c>
      <c r="AN143" s="20"/>
    </row>
    <row r="144" spans="7:43">
      <c r="G144" s="1">
        <f>P48</f>
        <v>18326.2</v>
      </c>
      <c r="H144" s="213" t="s">
        <v>4382</v>
      </c>
      <c r="I144" s="213">
        <v>16447</v>
      </c>
      <c r="J144" s="1">
        <f>G144*I144</f>
        <v>301411011.40000004</v>
      </c>
      <c r="Q144" s="26"/>
      <c r="R144" s="181"/>
      <c r="S144" s="181"/>
      <c r="T144" t="s">
        <v>25</v>
      </c>
      <c r="U144" s="96" t="s">
        <v>25</v>
      </c>
      <c r="V144" s="96" t="s">
        <v>25</v>
      </c>
      <c r="W144" s="96" t="s">
        <v>25</v>
      </c>
      <c r="Y144" t="s">
        <v>25</v>
      </c>
      <c r="Z144" t="s">
        <v>25</v>
      </c>
      <c r="AH144" s="20">
        <v>124</v>
      </c>
      <c r="AI144" s="117" t="s">
        <v>4786</v>
      </c>
      <c r="AJ144" s="117">
        <v>30000</v>
      </c>
      <c r="AK144" s="20">
        <v>3</v>
      </c>
      <c r="AL144" s="20">
        <f t="shared" si="38"/>
        <v>340</v>
      </c>
      <c r="AM144" s="117">
        <f t="shared" si="35"/>
        <v>10200000</v>
      </c>
      <c r="AN144" s="20"/>
    </row>
    <row r="145" spans="5:44">
      <c r="G145" s="213"/>
      <c r="H145" s="213"/>
      <c r="I145" s="213"/>
      <c r="J145" s="1"/>
      <c r="R145" s="32" t="s">
        <v>4549</v>
      </c>
      <c r="S145" s="32" t="s">
        <v>947</v>
      </c>
      <c r="T145" t="s">
        <v>25</v>
      </c>
      <c r="U145" s="96" t="s">
        <v>25</v>
      </c>
      <c r="V145" s="96" t="s">
        <v>25</v>
      </c>
      <c r="W145" s="96" t="s">
        <v>25</v>
      </c>
      <c r="X145" s="122" t="s">
        <v>25</v>
      </c>
      <c r="Y145" s="122" t="s">
        <v>25</v>
      </c>
      <c r="AH145" s="20">
        <v>125</v>
      </c>
      <c r="AI145" s="117" t="s">
        <v>4792</v>
      </c>
      <c r="AJ145" s="117">
        <v>2250000</v>
      </c>
      <c r="AK145" s="20">
        <v>1</v>
      </c>
      <c r="AL145" s="20">
        <f t="shared" si="38"/>
        <v>337</v>
      </c>
      <c r="AM145" s="117">
        <f>AJ145*AL145</f>
        <v>758250000</v>
      </c>
      <c r="AN145" s="20"/>
      <c r="AR145" t="s">
        <v>25</v>
      </c>
    </row>
    <row r="146" spans="5:44">
      <c r="G146" s="213"/>
      <c r="H146" s="213"/>
      <c r="I146" s="213"/>
      <c r="J146" s="1"/>
      <c r="R146" s="32">
        <v>324742</v>
      </c>
      <c r="S146" s="169">
        <v>394072139.95543915</v>
      </c>
      <c r="T146" t="s">
        <v>25</v>
      </c>
      <c r="U146" s="96" t="s">
        <v>25</v>
      </c>
      <c r="V146" s="122" t="s">
        <v>25</v>
      </c>
      <c r="W146" s="96" t="s">
        <v>25</v>
      </c>
      <c r="X146" t="s">
        <v>25</v>
      </c>
      <c r="Y146" s="122" t="s">
        <v>25</v>
      </c>
      <c r="AH146" s="23">
        <v>126</v>
      </c>
      <c r="AI146" s="35" t="s">
        <v>4797</v>
      </c>
      <c r="AJ146" s="35">
        <v>-31412200</v>
      </c>
      <c r="AK146" s="23">
        <v>1</v>
      </c>
      <c r="AL146" s="20">
        <f t="shared" si="38"/>
        <v>336</v>
      </c>
      <c r="AM146" s="35">
        <f>AJ146*AL146</f>
        <v>-10554499200</v>
      </c>
      <c r="AN146" s="23" t="s">
        <v>4785</v>
      </c>
    </row>
    <row r="147" spans="5:44">
      <c r="G147" s="213"/>
      <c r="H147" s="213"/>
      <c r="I147" s="213"/>
      <c r="J147" s="1"/>
      <c r="K147" s="96"/>
      <c r="L147" s="96"/>
      <c r="M147" t="s">
        <v>25</v>
      </c>
      <c r="P147" s="114"/>
      <c r="Q147" t="s">
        <v>25</v>
      </c>
      <c r="R147" s="32">
        <v>171595</v>
      </c>
      <c r="S147" s="1">
        <f>S146*R147/R146</f>
        <v>208229329.30034789</v>
      </c>
      <c r="T147" s="114" t="s">
        <v>25</v>
      </c>
      <c r="U147" s="96" t="s">
        <v>25</v>
      </c>
      <c r="V147" s="122" t="s">
        <v>25</v>
      </c>
      <c r="W147" s="96" t="s">
        <v>25</v>
      </c>
      <c r="X147" t="s">
        <v>25</v>
      </c>
      <c r="Y147" s="122" t="s">
        <v>25</v>
      </c>
      <c r="Z147" s="96" t="s">
        <v>25</v>
      </c>
      <c r="AH147" s="20">
        <v>127</v>
      </c>
      <c r="AI147" s="117" t="s">
        <v>4806</v>
      </c>
      <c r="AJ147" s="117">
        <v>70000</v>
      </c>
      <c r="AK147" s="20">
        <v>9</v>
      </c>
      <c r="AL147" s="20">
        <f t="shared" si="38"/>
        <v>335</v>
      </c>
      <c r="AM147" s="117">
        <f>AJ147*AL147</f>
        <v>23450000</v>
      </c>
      <c r="AN147" s="20"/>
    </row>
    <row r="148" spans="5:44">
      <c r="G148" s="213"/>
      <c r="H148" s="113"/>
      <c r="I148" s="282">
        <f>J148-J142</f>
        <v>204319995.40000004</v>
      </c>
      <c r="J148" s="1">
        <f>SUM(J143:J145)</f>
        <v>354319995.40000004</v>
      </c>
      <c r="K148" s="96"/>
      <c r="R148" s="32">
        <f>R146-R147</f>
        <v>153147</v>
      </c>
      <c r="S148" s="1">
        <f>R148*S146/R146</f>
        <v>185842810.65509126</v>
      </c>
      <c r="T148" t="s">
        <v>25</v>
      </c>
      <c r="U148" s="122" t="s">
        <v>25</v>
      </c>
      <c r="V148" s="96"/>
      <c r="W148" s="122" t="s">
        <v>25</v>
      </c>
      <c r="X148" t="s">
        <v>25</v>
      </c>
      <c r="Z148" s="96" t="s">
        <v>25</v>
      </c>
      <c r="AH148" s="99">
        <v>128</v>
      </c>
      <c r="AI148" s="113" t="s">
        <v>4813</v>
      </c>
      <c r="AJ148" s="113">
        <v>20000</v>
      </c>
      <c r="AK148" s="99">
        <v>10</v>
      </c>
      <c r="AL148" s="20">
        <f t="shared" si="38"/>
        <v>326</v>
      </c>
      <c r="AM148" s="117">
        <f>AJ148*AL148</f>
        <v>6520000</v>
      </c>
      <c r="AN148" s="20"/>
      <c r="AP148" t="s">
        <v>25</v>
      </c>
    </row>
    <row r="149" spans="5:44">
      <c r="G149" s="213"/>
      <c r="H149" s="213"/>
      <c r="I149" s="213" t="s">
        <v>5566</v>
      </c>
      <c r="J149" s="213" t="s">
        <v>6</v>
      </c>
      <c r="K149" s="96"/>
      <c r="L149" s="96"/>
      <c r="V149" s="96"/>
      <c r="W149"/>
      <c r="X149" t="s">
        <v>25</v>
      </c>
      <c r="Z149" s="96" t="s">
        <v>25</v>
      </c>
      <c r="AH149" s="99">
        <v>129</v>
      </c>
      <c r="AI149" s="113" t="s">
        <v>4833</v>
      </c>
      <c r="AJ149" s="113">
        <v>1000000</v>
      </c>
      <c r="AK149" s="99">
        <v>1</v>
      </c>
      <c r="AL149" s="20">
        <f t="shared" si="38"/>
        <v>316</v>
      </c>
      <c r="AM149" s="117">
        <f>AJ149*AL149</f>
        <v>316000000</v>
      </c>
      <c r="AN149" s="20"/>
    </row>
    <row r="150" spans="5:44">
      <c r="E150" s="123"/>
      <c r="G150" s="181"/>
      <c r="H150" s="181"/>
      <c r="I150" s="181"/>
      <c r="J150" s="181"/>
      <c r="K150" s="96"/>
      <c r="L150" s="96"/>
      <c r="M150" s="96"/>
      <c r="N150" s="96"/>
      <c r="O150" s="96"/>
      <c r="Q150" s="96"/>
      <c r="R150" s="96"/>
      <c r="S150" s="96"/>
      <c r="T150" s="96"/>
      <c r="U150" s="322" t="s">
        <v>4433</v>
      </c>
      <c r="V150" s="322" t="s">
        <v>4446</v>
      </c>
      <c r="W150" s="322" t="s">
        <v>4447</v>
      </c>
      <c r="X150" t="s">
        <v>25</v>
      </c>
      <c r="Y150" t="s">
        <v>25</v>
      </c>
      <c r="Z150" s="96"/>
      <c r="AA150" s="114"/>
      <c r="AC150" s="114"/>
      <c r="AD150" s="114"/>
      <c r="AH150" s="99">
        <v>130</v>
      </c>
      <c r="AI150" s="113" t="s">
        <v>4834</v>
      </c>
      <c r="AJ150" s="113">
        <v>65630227</v>
      </c>
      <c r="AK150" s="99">
        <v>0</v>
      </c>
      <c r="AL150" s="20">
        <f t="shared" si="38"/>
        <v>315</v>
      </c>
      <c r="AM150" s="117">
        <f t="shared" ref="AM150:AM177" si="45">AJ150*AL150</f>
        <v>20673521505</v>
      </c>
      <c r="AN150" s="20" t="s">
        <v>4837</v>
      </c>
      <c r="AP150" t="s">
        <v>25</v>
      </c>
      <c r="AR150" t="s">
        <v>25</v>
      </c>
    </row>
    <row r="151" spans="5:44">
      <c r="G151" s="213" t="s">
        <v>25</v>
      </c>
      <c r="H151" s="213" t="s">
        <v>5606</v>
      </c>
      <c r="I151" s="213" t="s">
        <v>5628</v>
      </c>
      <c r="J151" s="1">
        <v>50000000</v>
      </c>
      <c r="K151" s="96"/>
      <c r="L151" s="96"/>
      <c r="M151" s="96"/>
      <c r="N151" s="96"/>
      <c r="O151" s="96"/>
      <c r="Q151" s="96"/>
      <c r="R151" s="96"/>
      <c r="S151" s="96"/>
      <c r="T151" s="96"/>
      <c r="U151" s="322" t="s">
        <v>749</v>
      </c>
      <c r="V151" s="322">
        <v>1531076</v>
      </c>
      <c r="W151" s="90">
        <f>V151*$T$365</f>
        <v>4138840664.9920893</v>
      </c>
      <c r="Y151" t="s">
        <v>25</v>
      </c>
      <c r="Z151" s="96" t="s">
        <v>25</v>
      </c>
      <c r="AA151" s="114"/>
      <c r="AC151" s="114"/>
      <c r="AH151" s="99">
        <v>131</v>
      </c>
      <c r="AI151" s="113" t="s">
        <v>4834</v>
      </c>
      <c r="AJ151" s="113">
        <v>-3500000</v>
      </c>
      <c r="AK151" s="99">
        <v>6</v>
      </c>
      <c r="AL151" s="20">
        <f t="shared" si="38"/>
        <v>315</v>
      </c>
      <c r="AM151" s="117">
        <f t="shared" si="45"/>
        <v>-1102500000</v>
      </c>
      <c r="AN151" s="20" t="s">
        <v>4836</v>
      </c>
    </row>
    <row r="152" spans="5:44">
      <c r="G152" s="213">
        <f>P48</f>
        <v>18326.2</v>
      </c>
      <c r="H152" s="213" t="s">
        <v>4382</v>
      </c>
      <c r="I152" s="213">
        <v>4386</v>
      </c>
      <c r="J152" s="113">
        <f>G152*I152</f>
        <v>80378713.200000003</v>
      </c>
      <c r="K152" s="96"/>
      <c r="L152" s="96"/>
      <c r="M152" s="96"/>
      <c r="N152" s="96"/>
      <c r="O152" s="96"/>
      <c r="T152" s="96"/>
      <c r="U152" s="322" t="s">
        <v>4435</v>
      </c>
      <c r="V152" s="322">
        <v>1979041</v>
      </c>
      <c r="W152" s="90">
        <f>V152*$T$365</f>
        <v>5349790192.3135166</v>
      </c>
      <c r="X152" s="96" t="s">
        <v>25</v>
      </c>
      <c r="Y152" t="s">
        <v>25</v>
      </c>
      <c r="Z152" s="96"/>
      <c r="AA152" s="114"/>
      <c r="AC152" s="114"/>
      <c r="AD152" s="114"/>
      <c r="AH152" s="99">
        <v>132</v>
      </c>
      <c r="AI152" s="113" t="s">
        <v>4847</v>
      </c>
      <c r="AJ152" s="113">
        <v>2520000</v>
      </c>
      <c r="AK152" s="99">
        <v>12</v>
      </c>
      <c r="AL152" s="20">
        <f t="shared" si="38"/>
        <v>309</v>
      </c>
      <c r="AM152" s="117">
        <f t="shared" si="45"/>
        <v>778680000</v>
      </c>
      <c r="AN152" s="20"/>
    </row>
    <row r="153" spans="5:44">
      <c r="G153" s="213">
        <v>1</v>
      </c>
      <c r="H153" s="213" t="s">
        <v>5623</v>
      </c>
      <c r="I153" s="213">
        <v>654098</v>
      </c>
      <c r="J153" s="113">
        <f>G153*I153</f>
        <v>654098</v>
      </c>
      <c r="K153" s="96" t="s">
        <v>25</v>
      </c>
      <c r="L153" s="96"/>
      <c r="M153" s="96"/>
      <c r="N153" s="96"/>
      <c r="O153" s="96"/>
      <c r="T153" s="96"/>
      <c r="U153" s="322" t="s">
        <v>4434</v>
      </c>
      <c r="V153" s="322">
        <v>51212</v>
      </c>
      <c r="W153" s="90">
        <f>V153*$T$365</f>
        <v>138437483.27031112</v>
      </c>
      <c r="X153" s="217"/>
      <c r="Y153" s="96" t="s">
        <v>25</v>
      </c>
      <c r="Z153" s="96" t="s">
        <v>25</v>
      </c>
      <c r="AH153" s="99">
        <v>133</v>
      </c>
      <c r="AI153" s="113" t="s">
        <v>4882</v>
      </c>
      <c r="AJ153" s="113">
        <v>1400000</v>
      </c>
      <c r="AK153" s="99">
        <v>4</v>
      </c>
      <c r="AL153" s="20">
        <f t="shared" si="38"/>
        <v>297</v>
      </c>
      <c r="AM153" s="117">
        <f t="shared" si="45"/>
        <v>415800000</v>
      </c>
      <c r="AN153" s="20"/>
    </row>
    <row r="154" spans="5:44">
      <c r="G154" s="213"/>
      <c r="H154" s="213"/>
      <c r="I154" s="213"/>
      <c r="J154" s="113"/>
      <c r="K154" s="96"/>
      <c r="L154" s="96"/>
      <c r="N154" s="96"/>
      <c r="O154" s="96"/>
      <c r="Q154" t="s">
        <v>25</v>
      </c>
      <c r="R154" t="s">
        <v>25</v>
      </c>
      <c r="T154" s="96"/>
      <c r="U154" s="322" t="s">
        <v>1083</v>
      </c>
      <c r="V154" s="322">
        <v>114876</v>
      </c>
      <c r="W154" s="90">
        <f>V154*$T$365</f>
        <v>310535505.90018475</v>
      </c>
      <c r="X154" s="115"/>
      <c r="Y154" s="122" t="s">
        <v>25</v>
      </c>
      <c r="Z154" s="122" t="s">
        <v>25</v>
      </c>
      <c r="AH154" s="99">
        <v>134</v>
      </c>
      <c r="AI154" s="113" t="s">
        <v>4905</v>
      </c>
      <c r="AJ154" s="113">
        <v>1550000</v>
      </c>
      <c r="AK154" s="99">
        <v>2</v>
      </c>
      <c r="AL154" s="20">
        <f t="shared" si="38"/>
        <v>293</v>
      </c>
      <c r="AM154" s="117">
        <f t="shared" si="45"/>
        <v>454150000</v>
      </c>
      <c r="AN154" s="20"/>
    </row>
    <row r="155" spans="5:44">
      <c r="G155" s="213"/>
      <c r="H155" s="213" t="s">
        <v>950</v>
      </c>
      <c r="I155" s="188">
        <f>J152+J153-J151</f>
        <v>31032811.200000003</v>
      </c>
      <c r="J155" s="213"/>
      <c r="K155" s="96"/>
      <c r="L155" s="96"/>
      <c r="M155" s="96"/>
      <c r="N155" s="96"/>
      <c r="O155" s="96"/>
      <c r="P155" s="96"/>
      <c r="T155" s="96"/>
      <c r="U155" s="322" t="s">
        <v>5462</v>
      </c>
      <c r="V155" s="322">
        <v>2394</v>
      </c>
      <c r="W155" s="90">
        <f>V155*$T$365</f>
        <v>6471517.1238991804</v>
      </c>
      <c r="X155" s="115"/>
      <c r="Y155" s="122" t="s">
        <v>25</v>
      </c>
      <c r="Z155" s="96" t="s">
        <v>25</v>
      </c>
      <c r="AA155" t="s">
        <v>25</v>
      </c>
      <c r="AH155" s="99">
        <v>135</v>
      </c>
      <c r="AI155" s="113" t="s">
        <v>4854</v>
      </c>
      <c r="AJ155" s="113">
        <v>250000</v>
      </c>
      <c r="AK155" s="99">
        <v>6</v>
      </c>
      <c r="AL155" s="20">
        <f t="shared" si="38"/>
        <v>291</v>
      </c>
      <c r="AM155" s="117">
        <f t="shared" si="45"/>
        <v>72750000</v>
      </c>
      <c r="AN155" s="20"/>
    </row>
    <row r="156" spans="5:44">
      <c r="G156" s="181"/>
      <c r="H156" s="181"/>
      <c r="I156" s="181"/>
      <c r="J156" s="181"/>
      <c r="K156" s="114"/>
      <c r="P156" s="96"/>
      <c r="T156" s="96" t="s">
        <v>25</v>
      </c>
      <c r="U156" s="322"/>
      <c r="V156" s="322"/>
      <c r="W156" s="322"/>
      <c r="X156" s="115"/>
      <c r="Y156" s="122" t="s">
        <v>25</v>
      </c>
      <c r="Z156" s="96"/>
      <c r="AH156" s="99">
        <v>136</v>
      </c>
      <c r="AI156" s="113" t="s">
        <v>4915</v>
      </c>
      <c r="AJ156" s="113">
        <v>-48527480</v>
      </c>
      <c r="AK156" s="99">
        <v>14</v>
      </c>
      <c r="AL156" s="20">
        <f t="shared" si="38"/>
        <v>285</v>
      </c>
      <c r="AM156" s="117">
        <f t="shared" si="45"/>
        <v>-13830331800</v>
      </c>
      <c r="AN156" s="20" t="s">
        <v>4917</v>
      </c>
    </row>
    <row r="157" spans="5:44">
      <c r="S157" t="s">
        <v>25</v>
      </c>
      <c r="T157" s="96"/>
      <c r="U157" s="89"/>
      <c r="V157" s="89"/>
      <c r="W157" s="89"/>
      <c r="X157" s="114"/>
      <c r="Y157" s="96"/>
      <c r="Z157" s="96"/>
      <c r="AH157" s="99">
        <v>137</v>
      </c>
      <c r="AI157" s="113" t="s">
        <v>4942</v>
      </c>
      <c r="AJ157" s="113">
        <v>2100000</v>
      </c>
      <c r="AK157" s="99">
        <v>1</v>
      </c>
      <c r="AL157" s="20">
        <f t="shared" si="38"/>
        <v>271</v>
      </c>
      <c r="AM157" s="117">
        <f t="shared" si="45"/>
        <v>569100000</v>
      </c>
      <c r="AN157" s="20"/>
    </row>
    <row r="158" spans="5:44">
      <c r="G158" s="99"/>
      <c r="H158" s="99"/>
      <c r="I158" s="99" t="s">
        <v>5556</v>
      </c>
      <c r="J158" s="1">
        <v>20000000</v>
      </c>
      <c r="K158" s="278"/>
      <c r="L158" s="290"/>
      <c r="T158" s="96"/>
      <c r="U158" s="89"/>
      <c r="V158" s="89"/>
      <c r="W158" s="89"/>
      <c r="X158" s="96"/>
      <c r="Y158" s="96"/>
      <c r="Z158" s="96"/>
      <c r="AH158" s="99">
        <v>138</v>
      </c>
      <c r="AI158" s="113" t="s">
        <v>4945</v>
      </c>
      <c r="AJ158" s="113">
        <v>100000</v>
      </c>
      <c r="AK158" s="99">
        <v>4</v>
      </c>
      <c r="AL158" s="20">
        <f>AL159+AK158</f>
        <v>270</v>
      </c>
      <c r="AM158" s="117">
        <f t="shared" si="45"/>
        <v>27000000</v>
      </c>
      <c r="AN158" s="20"/>
    </row>
    <row r="159" spans="5:44">
      <c r="G159" s="99">
        <f>P52</f>
        <v>1588</v>
      </c>
      <c r="H159" s="99" t="s">
        <v>4233</v>
      </c>
      <c r="I159" s="99">
        <v>30054</v>
      </c>
      <c r="J159" s="1">
        <f>G159*I159</f>
        <v>47725752</v>
      </c>
      <c r="T159" s="96"/>
      <c r="U159" s="89"/>
      <c r="V159" s="89"/>
      <c r="W159" s="89"/>
      <c r="X159" s="96"/>
      <c r="Y159" s="96" t="s">
        <v>25</v>
      </c>
      <c r="Z159" s="96"/>
      <c r="AH159" s="99">
        <v>139</v>
      </c>
      <c r="AI159" s="113" t="s">
        <v>4950</v>
      </c>
      <c r="AJ159" s="113">
        <v>900000</v>
      </c>
      <c r="AK159" s="99">
        <v>0</v>
      </c>
      <c r="AL159" s="20">
        <f t="shared" ref="AL159:AL168" si="46">AL160+AK159</f>
        <v>266</v>
      </c>
      <c r="AM159" s="117">
        <f t="shared" ref="AM159:AM168" si="47">AJ159*AL159</f>
        <v>239400000</v>
      </c>
      <c r="AN159" s="20"/>
      <c r="AP159" t="s">
        <v>25</v>
      </c>
    </row>
    <row r="160" spans="5:44">
      <c r="G160" s="99">
        <f>P48</f>
        <v>18326.2</v>
      </c>
      <c r="H160" s="99" t="s">
        <v>4382</v>
      </c>
      <c r="I160" s="99">
        <v>1150</v>
      </c>
      <c r="J160" s="1">
        <f>G160*I160</f>
        <v>21075130</v>
      </c>
      <c r="P160" s="114"/>
      <c r="T160" s="96"/>
      <c r="U160" s="89"/>
      <c r="V160" s="89"/>
      <c r="W160" s="89"/>
      <c r="X160" s="96"/>
      <c r="Y160" s="96"/>
      <c r="AH160" s="99">
        <v>140</v>
      </c>
      <c r="AI160" s="113" t="s">
        <v>4950</v>
      </c>
      <c r="AJ160" s="113">
        <v>1100000</v>
      </c>
      <c r="AK160" s="99">
        <v>0</v>
      </c>
      <c r="AL160" s="20">
        <f t="shared" si="46"/>
        <v>266</v>
      </c>
      <c r="AM160" s="117">
        <f t="shared" si="47"/>
        <v>292600000</v>
      </c>
      <c r="AN160" s="20" t="s">
        <v>4966</v>
      </c>
      <c r="AQ160" t="s">
        <v>25</v>
      </c>
    </row>
    <row r="161" spans="7:43">
      <c r="G161" s="99">
        <f>P45</f>
        <v>86600</v>
      </c>
      <c r="H161" s="99" t="s">
        <v>5322</v>
      </c>
      <c r="I161" s="99">
        <v>52</v>
      </c>
      <c r="J161" s="1">
        <f>G161*I161</f>
        <v>4503200</v>
      </c>
      <c r="P161" s="114"/>
      <c r="T161" s="96"/>
      <c r="U161" s="89"/>
      <c r="V161" s="89" t="s">
        <v>4990</v>
      </c>
      <c r="W161" s="142">
        <f>W151-R168</f>
        <v>1217323435.3920894</v>
      </c>
      <c r="X161" s="96"/>
      <c r="Y161" s="96"/>
      <c r="Z161" t="s">
        <v>25</v>
      </c>
      <c r="AH161" s="99">
        <v>141</v>
      </c>
      <c r="AI161" s="113" t="s">
        <v>4950</v>
      </c>
      <c r="AJ161" s="113">
        <v>115000</v>
      </c>
      <c r="AK161" s="99"/>
      <c r="AL161" s="20">
        <f t="shared" si="46"/>
        <v>266</v>
      </c>
      <c r="AM161" s="117">
        <f t="shared" si="47"/>
        <v>30590000</v>
      </c>
      <c r="AN161" s="20"/>
      <c r="AQ161" t="s">
        <v>25</v>
      </c>
    </row>
    <row r="162" spans="7:43">
      <c r="G162" s="99">
        <v>1</v>
      </c>
      <c r="H162" s="99" t="s">
        <v>5659</v>
      </c>
      <c r="I162" s="99">
        <v>0</v>
      </c>
      <c r="J162" s="1">
        <f>I162</f>
        <v>0</v>
      </c>
      <c r="N162" s="96"/>
      <c r="O162" s="96"/>
      <c r="P162" s="114"/>
      <c r="Q162" s="96"/>
      <c r="R162" s="96"/>
      <c r="S162" s="96"/>
      <c r="T162" s="96"/>
      <c r="U162" s="89"/>
      <c r="V162" s="89" t="s">
        <v>4991</v>
      </c>
      <c r="W162" s="142">
        <f>W154+W153-R169</f>
        <v>123884091.57049584</v>
      </c>
      <c r="X162" s="115"/>
      <c r="Y162" s="96" t="s">
        <v>25</v>
      </c>
      <c r="AH162" s="99">
        <v>142</v>
      </c>
      <c r="AI162" s="113" t="s">
        <v>4958</v>
      </c>
      <c r="AJ162" s="113">
        <v>-1100000</v>
      </c>
      <c r="AK162" s="99"/>
      <c r="AL162" s="20">
        <f t="shared" si="46"/>
        <v>266</v>
      </c>
      <c r="AM162" s="117">
        <f t="shared" si="47"/>
        <v>-292600000</v>
      </c>
      <c r="AN162" s="20" t="s">
        <v>4967</v>
      </c>
      <c r="AQ162" t="s">
        <v>25</v>
      </c>
    </row>
    <row r="163" spans="7:43">
      <c r="G163" s="99"/>
      <c r="H163" s="99" t="s">
        <v>950</v>
      </c>
      <c r="I163" s="271">
        <f>J159+J160+J161+J162-J158</f>
        <v>53304082</v>
      </c>
      <c r="J163" s="1"/>
      <c r="N163" s="96"/>
      <c r="O163" s="96"/>
      <c r="S163" s="96"/>
      <c r="T163" s="96"/>
      <c r="V163" s="96"/>
      <c r="Y163" s="122" t="s">
        <v>25</v>
      </c>
      <c r="AH163" s="99">
        <v>143</v>
      </c>
      <c r="AI163" s="113" t="s">
        <v>4958</v>
      </c>
      <c r="AJ163" s="113">
        <v>900000</v>
      </c>
      <c r="AK163" s="99">
        <v>1</v>
      </c>
      <c r="AL163" s="20">
        <f t="shared" si="46"/>
        <v>266</v>
      </c>
      <c r="AM163" s="117">
        <f t="shared" si="47"/>
        <v>239400000</v>
      </c>
      <c r="AN163" s="20" t="s">
        <v>4966</v>
      </c>
    </row>
    <row r="164" spans="7:43">
      <c r="N164" s="96"/>
      <c r="O164" s="96"/>
      <c r="S164" s="96"/>
      <c r="T164" s="96" t="s">
        <v>25</v>
      </c>
      <c r="V164" s="96"/>
      <c r="Y164" s="96" t="s">
        <v>25</v>
      </c>
      <c r="AH164" s="99">
        <v>144</v>
      </c>
      <c r="AI164" s="113" t="s">
        <v>4964</v>
      </c>
      <c r="AJ164" s="113">
        <v>2000000</v>
      </c>
      <c r="AK164" s="99">
        <v>0</v>
      </c>
      <c r="AL164" s="20">
        <f t="shared" si="46"/>
        <v>265</v>
      </c>
      <c r="AM164" s="117">
        <f t="shared" si="47"/>
        <v>530000000</v>
      </c>
      <c r="AN164" s="20"/>
    </row>
    <row r="165" spans="7:43">
      <c r="K165" t="s">
        <v>25</v>
      </c>
      <c r="N165" s="96"/>
      <c r="O165" s="96"/>
      <c r="Q165" s="96"/>
      <c r="R165" s="96"/>
      <c r="S165" s="96"/>
      <c r="T165" s="96"/>
      <c r="V165" s="96"/>
      <c r="Y165" s="96"/>
      <c r="Z165" t="s">
        <v>25</v>
      </c>
      <c r="AH165" s="99">
        <v>145</v>
      </c>
      <c r="AI165" s="113" t="s">
        <v>4964</v>
      </c>
      <c r="AJ165" s="113">
        <v>360000</v>
      </c>
      <c r="AK165" s="99">
        <v>1</v>
      </c>
      <c r="AL165" s="20">
        <f t="shared" si="46"/>
        <v>265</v>
      </c>
      <c r="AM165" s="117">
        <f t="shared" si="47"/>
        <v>95400000</v>
      </c>
      <c r="AN165" s="20"/>
    </row>
    <row r="166" spans="7:43">
      <c r="I166">
        <f>39042-I159</f>
        <v>8988</v>
      </c>
      <c r="J166" s="114">
        <f>I166*$G$159</f>
        <v>14272944</v>
      </c>
      <c r="N166" s="96"/>
      <c r="O166" s="96"/>
      <c r="P166" s="114"/>
      <c r="Q166" s="96"/>
      <c r="R166" s="96"/>
      <c r="S166" s="96"/>
      <c r="T166" s="99" t="s">
        <v>180</v>
      </c>
      <c r="U166" s="99" t="s">
        <v>4463</v>
      </c>
      <c r="V166" s="99" t="s">
        <v>4464</v>
      </c>
      <c r="W166" s="99" t="s">
        <v>4474</v>
      </c>
      <c r="X166" s="99" t="s">
        <v>8</v>
      </c>
      <c r="Y166" t="s">
        <v>25</v>
      </c>
      <c r="Z166" t="s">
        <v>25</v>
      </c>
      <c r="AH166" s="99">
        <v>146</v>
      </c>
      <c r="AI166" s="113" t="s">
        <v>4965</v>
      </c>
      <c r="AJ166" s="113">
        <v>3000000</v>
      </c>
      <c r="AK166" s="99">
        <v>1</v>
      </c>
      <c r="AL166" s="20">
        <f t="shared" si="46"/>
        <v>264</v>
      </c>
      <c r="AM166" s="117">
        <f t="shared" si="47"/>
        <v>792000000</v>
      </c>
      <c r="AN166" s="20"/>
    </row>
    <row r="167" spans="7:43">
      <c r="I167">
        <v>10107.271699999999</v>
      </c>
      <c r="J167" s="114">
        <f>I167*$G$159</f>
        <v>16050347.4596</v>
      </c>
      <c r="N167" s="96"/>
      <c r="O167" s="96"/>
      <c r="Q167" s="36" t="s">
        <v>4548</v>
      </c>
      <c r="R167" s="95">
        <f>SUM(N44:N54)</f>
        <v>6167014444.3999996</v>
      </c>
      <c r="T167" s="113" t="s">
        <v>4445</v>
      </c>
      <c r="U167" s="56">
        <v>1000000</v>
      </c>
      <c r="V167" s="113">
        <v>239.024</v>
      </c>
      <c r="W167" s="113">
        <f t="shared" ref="W167:W268" si="48">U167*V167</f>
        <v>239024000</v>
      </c>
      <c r="X167" s="99"/>
      <c r="Y167" t="s">
        <v>25</v>
      </c>
      <c r="AH167" s="99">
        <v>147</v>
      </c>
      <c r="AI167" s="113" t="s">
        <v>4962</v>
      </c>
      <c r="AJ167" s="113">
        <v>-658226</v>
      </c>
      <c r="AK167" s="99">
        <v>1</v>
      </c>
      <c r="AL167" s="20">
        <f t="shared" si="46"/>
        <v>263</v>
      </c>
      <c r="AM167" s="117">
        <f t="shared" si="47"/>
        <v>-173113438</v>
      </c>
      <c r="AN167" s="20"/>
    </row>
    <row r="168" spans="7:43">
      <c r="I168">
        <f>I166-I167</f>
        <v>-1119.2716999999993</v>
      </c>
      <c r="J168" s="114">
        <f>I168*$G$159</f>
        <v>-1777403.459599999</v>
      </c>
      <c r="N168" s="96"/>
      <c r="O168" s="96"/>
      <c r="P168" s="114"/>
      <c r="Q168" s="99" t="s">
        <v>4436</v>
      </c>
      <c r="R168" s="95">
        <f>SUM(N21:N25)</f>
        <v>2921517229.5999999</v>
      </c>
      <c r="T168" s="168" t="s">
        <v>4427</v>
      </c>
      <c r="U168" s="56">
        <v>5904</v>
      </c>
      <c r="V168" s="113">
        <v>237.148</v>
      </c>
      <c r="W168" s="113">
        <f t="shared" si="48"/>
        <v>1400121.7919999999</v>
      </c>
      <c r="X168" s="99" t="s">
        <v>749</v>
      </c>
      <c r="Y168" t="s">
        <v>25</v>
      </c>
      <c r="Z168" t="s">
        <v>25</v>
      </c>
      <c r="AH168" s="99">
        <v>148</v>
      </c>
      <c r="AI168" s="113" t="s">
        <v>4968</v>
      </c>
      <c r="AJ168" s="113">
        <v>1000000</v>
      </c>
      <c r="AK168" s="99">
        <v>15</v>
      </c>
      <c r="AL168" s="20">
        <f t="shared" si="46"/>
        <v>262</v>
      </c>
      <c r="AM168" s="117">
        <f t="shared" si="47"/>
        <v>262000000</v>
      </c>
      <c r="AN168" s="20"/>
      <c r="AP168" t="s">
        <v>25</v>
      </c>
    </row>
    <row r="169" spans="7:43">
      <c r="L169" t="s">
        <v>25</v>
      </c>
      <c r="Q169" s="99" t="s">
        <v>4437</v>
      </c>
      <c r="R169" s="95">
        <f>SUM(N28:N31)</f>
        <v>325088897.60000002</v>
      </c>
      <c r="T169" s="168" t="s">
        <v>4222</v>
      </c>
      <c r="U169" s="168">
        <v>1000</v>
      </c>
      <c r="V169" s="113">
        <v>247.393</v>
      </c>
      <c r="W169" s="113">
        <f t="shared" si="48"/>
        <v>247393</v>
      </c>
      <c r="X169" s="99" t="s">
        <v>749</v>
      </c>
      <c r="Y169" t="s">
        <v>25</v>
      </c>
      <c r="AH169" s="99">
        <v>149</v>
      </c>
      <c r="AI169" s="113" t="s">
        <v>4996</v>
      </c>
      <c r="AJ169" s="113">
        <v>1130250</v>
      </c>
      <c r="AK169" s="99">
        <v>5</v>
      </c>
      <c r="AL169" s="20">
        <f t="shared" si="38"/>
        <v>247</v>
      </c>
      <c r="AM169" s="117">
        <f t="shared" si="45"/>
        <v>279171750</v>
      </c>
      <c r="AN169" s="20"/>
    </row>
    <row r="170" spans="7:43">
      <c r="J170" s="114">
        <f>J167-J161</f>
        <v>11547147.4596</v>
      </c>
      <c r="P170" s="114"/>
      <c r="Q170" s="99" t="s">
        <v>4438</v>
      </c>
      <c r="R170" s="95">
        <f>N42</f>
        <v>14167</v>
      </c>
      <c r="T170" s="168" t="s">
        <v>4475</v>
      </c>
      <c r="U170" s="168">
        <v>8071</v>
      </c>
      <c r="V170" s="113">
        <v>247.797</v>
      </c>
      <c r="W170" s="113">
        <f t="shared" si="48"/>
        <v>1999969.5870000001</v>
      </c>
      <c r="X170" s="99" t="s">
        <v>4434</v>
      </c>
      <c r="Y170" t="s">
        <v>25</v>
      </c>
      <c r="AE170" s="96" t="s">
        <v>25</v>
      </c>
      <c r="AH170" s="99">
        <v>150</v>
      </c>
      <c r="AI170" s="113" t="s">
        <v>5004</v>
      </c>
      <c r="AJ170" s="113">
        <v>206000</v>
      </c>
      <c r="AK170" s="99">
        <v>2</v>
      </c>
      <c r="AL170" s="20">
        <f t="shared" si="38"/>
        <v>242</v>
      </c>
      <c r="AM170" s="117">
        <f t="shared" si="45"/>
        <v>49852000</v>
      </c>
      <c r="AN170" s="20"/>
    </row>
    <row r="171" spans="7:43">
      <c r="N171" s="114"/>
      <c r="O171" s="114"/>
      <c r="P171" s="114"/>
      <c r="Q171" s="99" t="s">
        <v>4439</v>
      </c>
      <c r="R171" s="95">
        <f>N20</f>
        <v>542934818</v>
      </c>
      <c r="T171" s="168" t="s">
        <v>4475</v>
      </c>
      <c r="U171" s="168">
        <v>53672</v>
      </c>
      <c r="V171" s="113">
        <v>247.797</v>
      </c>
      <c r="W171" s="113">
        <f t="shared" si="48"/>
        <v>13299760.584000001</v>
      </c>
      <c r="X171" s="99" t="s">
        <v>452</v>
      </c>
      <c r="Z171" t="s">
        <v>25</v>
      </c>
      <c r="AH171" s="99">
        <v>151</v>
      </c>
      <c r="AI171" s="113" t="s">
        <v>5011</v>
      </c>
      <c r="AJ171" s="113">
        <v>50000</v>
      </c>
      <c r="AK171" s="99">
        <v>2</v>
      </c>
      <c r="AL171" s="20">
        <f t="shared" si="38"/>
        <v>240</v>
      </c>
      <c r="AM171" s="117">
        <f t="shared" si="45"/>
        <v>12000000</v>
      </c>
      <c r="AN171" s="20"/>
    </row>
    <row r="172" spans="7:43">
      <c r="J172" t="s">
        <v>25</v>
      </c>
      <c r="P172" s="114"/>
      <c r="Q172" s="99" t="s">
        <v>4440</v>
      </c>
      <c r="R172" s="95">
        <f>N27</f>
        <v>22500</v>
      </c>
      <c r="T172" s="168" t="s">
        <v>4483</v>
      </c>
      <c r="U172" s="168">
        <v>4099</v>
      </c>
      <c r="V172" s="113">
        <v>243.93</v>
      </c>
      <c r="W172" s="113">
        <f t="shared" si="48"/>
        <v>999869.07000000007</v>
      </c>
      <c r="X172" s="99" t="s">
        <v>4434</v>
      </c>
      <c r="Y172" t="s">
        <v>25</v>
      </c>
      <c r="AH172" s="99">
        <v>152</v>
      </c>
      <c r="AI172" s="113" t="s">
        <v>5015</v>
      </c>
      <c r="AJ172" s="113">
        <v>105000</v>
      </c>
      <c r="AK172" s="99">
        <v>4</v>
      </c>
      <c r="AL172" s="20">
        <f t="shared" si="38"/>
        <v>238</v>
      </c>
      <c r="AM172" s="117">
        <f t="shared" si="45"/>
        <v>24990000</v>
      </c>
      <c r="AN172" s="20"/>
    </row>
    <row r="173" spans="7:43">
      <c r="N173" s="114"/>
      <c r="P173" s="114"/>
      <c r="Q173" s="99" t="s">
        <v>5622</v>
      </c>
      <c r="R173" s="95">
        <v>-493</v>
      </c>
      <c r="S173" t="s">
        <v>25</v>
      </c>
      <c r="T173" s="168" t="s">
        <v>4483</v>
      </c>
      <c r="U173" s="168">
        <v>9301</v>
      </c>
      <c r="V173" s="113">
        <v>243.93</v>
      </c>
      <c r="W173" s="113">
        <f t="shared" si="48"/>
        <v>2268792.9300000002</v>
      </c>
      <c r="X173" s="99" t="s">
        <v>452</v>
      </c>
      <c r="Y173" t="s">
        <v>25</v>
      </c>
      <c r="AH173" s="99">
        <v>153</v>
      </c>
      <c r="AI173" s="113" t="s">
        <v>5019</v>
      </c>
      <c r="AJ173" s="113">
        <v>5000000</v>
      </c>
      <c r="AK173" s="99">
        <v>1</v>
      </c>
      <c r="AL173" s="20">
        <f t="shared" si="38"/>
        <v>234</v>
      </c>
      <c r="AM173" s="117">
        <f t="shared" si="45"/>
        <v>1170000000</v>
      </c>
      <c r="AN173" s="20"/>
    </row>
    <row r="174" spans="7:43">
      <c r="G174" s="32" t="s">
        <v>4233</v>
      </c>
      <c r="H174" s="32"/>
      <c r="I174" s="32" t="s">
        <v>4382</v>
      </c>
      <c r="K174" s="96"/>
      <c r="L174" s="96"/>
      <c r="P174" s="114"/>
      <c r="Q174" s="99" t="s">
        <v>5126</v>
      </c>
      <c r="R174" s="95">
        <v>0</v>
      </c>
      <c r="T174" s="168" t="s">
        <v>4489</v>
      </c>
      <c r="U174" s="168">
        <v>8334</v>
      </c>
      <c r="V174" s="113">
        <v>239.97</v>
      </c>
      <c r="W174" s="113">
        <f t="shared" si="48"/>
        <v>1999909.98</v>
      </c>
      <c r="X174" s="99" t="s">
        <v>4434</v>
      </c>
      <c r="Y174" t="s">
        <v>25</v>
      </c>
      <c r="Z174" t="s">
        <v>25</v>
      </c>
      <c r="AH174" s="99">
        <v>154</v>
      </c>
      <c r="AI174" s="113" t="s">
        <v>5020</v>
      </c>
      <c r="AJ174" s="113">
        <v>2500000</v>
      </c>
      <c r="AK174" s="99">
        <v>2</v>
      </c>
      <c r="AL174" s="20">
        <f t="shared" si="38"/>
        <v>233</v>
      </c>
      <c r="AM174" s="117">
        <f t="shared" si="45"/>
        <v>582500000</v>
      </c>
      <c r="AN174" s="20"/>
    </row>
    <row r="175" spans="7:43">
      <c r="G175" s="32">
        <f>O21+O31+O52+I143</f>
        <v>3995175</v>
      </c>
      <c r="H175" s="32" t="s">
        <v>5598</v>
      </c>
      <c r="I175" s="32">
        <f>O23+O28+O48+I144+O44</f>
        <v>175705</v>
      </c>
      <c r="J175" s="114">
        <f>I175*1000</f>
        <v>175705000</v>
      </c>
      <c r="K175" s="96"/>
      <c r="L175" s="96"/>
      <c r="O175" s="96"/>
      <c r="P175" s="114"/>
      <c r="Q175" s="99" t="s">
        <v>5591</v>
      </c>
      <c r="R175" s="95">
        <v>-3000000</v>
      </c>
      <c r="S175" s="96"/>
      <c r="T175" s="168" t="s">
        <v>4221</v>
      </c>
      <c r="U175" s="168">
        <v>29041</v>
      </c>
      <c r="V175" s="113">
        <v>233.45</v>
      </c>
      <c r="W175" s="113">
        <f t="shared" si="48"/>
        <v>6779621.4499999993</v>
      </c>
      <c r="X175" s="99" t="s">
        <v>749</v>
      </c>
      <c r="Z175" t="s">
        <v>25</v>
      </c>
      <c r="AH175" s="265">
        <v>155</v>
      </c>
      <c r="AI175" s="261" t="s">
        <v>5026</v>
      </c>
      <c r="AJ175" s="261">
        <v>-50000000</v>
      </c>
      <c r="AK175" s="265">
        <v>7</v>
      </c>
      <c r="AL175" s="265">
        <f t="shared" si="38"/>
        <v>231</v>
      </c>
      <c r="AM175" s="261">
        <f t="shared" si="45"/>
        <v>-11550000000</v>
      </c>
      <c r="AN175" s="265" t="s">
        <v>5034</v>
      </c>
    </row>
    <row r="176" spans="7:43">
      <c r="G176" s="32">
        <f>(J144+N23+N25+N28+N47+N48+N44)/P52</f>
        <v>2142769.8104534005</v>
      </c>
      <c r="H176" s="298" t="s">
        <v>5599</v>
      </c>
      <c r="I176" s="32">
        <f>(J143+N52+N47+N31+N25+N21)/P48</f>
        <v>356159.56324824569</v>
      </c>
      <c r="J176" s="114">
        <v>-87000000</v>
      </c>
      <c r="K176" s="96"/>
      <c r="L176" s="96"/>
      <c r="O176" s="96"/>
      <c r="P176" s="117"/>
      <c r="Q176" s="99" t="s">
        <v>5590</v>
      </c>
      <c r="R176" s="95">
        <v>-1000000</v>
      </c>
      <c r="S176" s="96"/>
      <c r="T176" s="168" t="s">
        <v>991</v>
      </c>
      <c r="U176" s="168">
        <v>12337</v>
      </c>
      <c r="V176" s="113">
        <v>243.16300000000001</v>
      </c>
      <c r="W176" s="113">
        <f t="shared" si="48"/>
        <v>2999901.9310000003</v>
      </c>
      <c r="X176" s="99" t="s">
        <v>4434</v>
      </c>
      <c r="Z176" t="s">
        <v>25</v>
      </c>
      <c r="AH176" s="99">
        <v>156</v>
      </c>
      <c r="AI176" s="113" t="s">
        <v>5032</v>
      </c>
      <c r="AJ176" s="113">
        <v>10000000</v>
      </c>
      <c r="AK176" s="99">
        <v>12</v>
      </c>
      <c r="AL176" s="20">
        <f t="shared" si="38"/>
        <v>224</v>
      </c>
      <c r="AM176" s="117">
        <f t="shared" si="45"/>
        <v>2240000000</v>
      </c>
      <c r="AN176" s="20" t="s">
        <v>4723</v>
      </c>
    </row>
    <row r="177" spans="5:43">
      <c r="G177" s="32">
        <f>G175+G176</f>
        <v>6137944.8104534</v>
      </c>
      <c r="H177" s="32" t="s">
        <v>5600</v>
      </c>
      <c r="I177" s="32">
        <f>I175+I176</f>
        <v>531864.56324824574</v>
      </c>
      <c r="J177" s="114">
        <v>-10000000</v>
      </c>
      <c r="K177" s="96"/>
      <c r="L177" s="96"/>
      <c r="P177" s="114"/>
      <c r="Q177" s="99" t="s">
        <v>5587</v>
      </c>
      <c r="R177" s="95">
        <v>-2000000</v>
      </c>
      <c r="T177" s="168" t="s">
        <v>4567</v>
      </c>
      <c r="U177" s="168">
        <v>-16118</v>
      </c>
      <c r="V177" s="113">
        <v>248.17</v>
      </c>
      <c r="W177" s="113">
        <f t="shared" si="48"/>
        <v>-4000004.0599999996</v>
      </c>
      <c r="X177" s="99" t="s">
        <v>749</v>
      </c>
      <c r="AH177" s="99">
        <v>157</v>
      </c>
      <c r="AI177" s="113" t="s">
        <v>5039</v>
      </c>
      <c r="AJ177" s="113">
        <v>-16266000</v>
      </c>
      <c r="AK177" s="99">
        <v>1</v>
      </c>
      <c r="AL177" s="20">
        <f t="shared" si="38"/>
        <v>212</v>
      </c>
      <c r="AM177" s="117">
        <f t="shared" si="45"/>
        <v>-3448392000</v>
      </c>
      <c r="AN177" s="20" t="s">
        <v>5047</v>
      </c>
      <c r="AQ177" t="s">
        <v>25</v>
      </c>
    </row>
    <row r="178" spans="5:43">
      <c r="G178" s="32">
        <f>(W153+W154+W155)/P52</f>
        <v>286803.8452735485</v>
      </c>
      <c r="H178" s="32" t="s">
        <v>5567</v>
      </c>
      <c r="I178" s="32">
        <f>(W153+W154+W155)/P48</f>
        <v>24852.097341205215</v>
      </c>
      <c r="J178" s="114"/>
      <c r="K178" s="96"/>
      <c r="L178" s="96"/>
      <c r="P178" s="114"/>
      <c r="Q178" s="99"/>
      <c r="R178" s="95"/>
      <c r="S178" s="96"/>
      <c r="T178" s="168" t="s">
        <v>4594</v>
      </c>
      <c r="U178" s="168">
        <v>101681</v>
      </c>
      <c r="V178" s="113">
        <v>246.5711</v>
      </c>
      <c r="W178" s="113">
        <f t="shared" si="48"/>
        <v>25071596.019099999</v>
      </c>
      <c r="X178" s="99" t="s">
        <v>452</v>
      </c>
      <c r="Y178" t="s">
        <v>25</v>
      </c>
      <c r="AH178" s="99">
        <v>158</v>
      </c>
      <c r="AI178" s="113" t="s">
        <v>5048</v>
      </c>
      <c r="AJ178" s="113">
        <v>1000000</v>
      </c>
      <c r="AK178" s="99">
        <v>6</v>
      </c>
      <c r="AL178" s="20">
        <f>AL179+AK178</f>
        <v>211</v>
      </c>
      <c r="AM178" s="117">
        <f>AJ178*AL178</f>
        <v>211000000</v>
      </c>
      <c r="AN178" s="20"/>
    </row>
    <row r="179" spans="5:43">
      <c r="G179" s="32">
        <f>W151/P52</f>
        <v>2606322.8368967818</v>
      </c>
      <c r="H179" s="32" t="s">
        <v>483</v>
      </c>
      <c r="I179" s="32">
        <f>W151/P48</f>
        <v>225842.81875086427</v>
      </c>
      <c r="J179" s="114"/>
      <c r="K179" s="96"/>
      <c r="L179" s="96"/>
      <c r="M179" t="s">
        <v>25</v>
      </c>
      <c r="P179" s="114"/>
      <c r="Q179" s="99" t="s">
        <v>5127</v>
      </c>
      <c r="R179" s="95">
        <v>0</v>
      </c>
      <c r="S179" s="115" t="s">
        <v>25</v>
      </c>
      <c r="T179" s="168" t="s">
        <v>4598</v>
      </c>
      <c r="U179" s="168">
        <v>66606</v>
      </c>
      <c r="V179" s="113">
        <v>251.131</v>
      </c>
      <c r="W179" s="113">
        <f t="shared" si="48"/>
        <v>16726831.386</v>
      </c>
      <c r="X179" s="99" t="s">
        <v>749</v>
      </c>
      <c r="Y179" t="s">
        <v>25</v>
      </c>
      <c r="AH179" s="99">
        <v>159</v>
      </c>
      <c r="AI179" s="113" t="s">
        <v>5056</v>
      </c>
      <c r="AJ179" s="113">
        <v>40000</v>
      </c>
      <c r="AK179" s="99">
        <v>5</v>
      </c>
      <c r="AL179" s="20">
        <f>AL180+AK179</f>
        <v>205</v>
      </c>
      <c r="AM179" s="117">
        <f>AJ179*AL179</f>
        <v>8200000</v>
      </c>
      <c r="AN179" s="20"/>
    </row>
    <row r="180" spans="5:43">
      <c r="G180" s="32">
        <f>G177-G178-G179</f>
        <v>3244818.1282830695</v>
      </c>
      <c r="H180" s="32" t="s">
        <v>5</v>
      </c>
      <c r="I180" s="32">
        <f>I177-I178-I179</f>
        <v>281169.64715617627</v>
      </c>
      <c r="J180" s="114">
        <f>SUM(J175:J178)</f>
        <v>78705000</v>
      </c>
      <c r="P180" s="114"/>
      <c r="Q180" s="99" t="s">
        <v>5562</v>
      </c>
      <c r="R180" s="95">
        <f>-4900*P52</f>
        <v>-7781200</v>
      </c>
      <c r="S180" s="122" t="s">
        <v>25</v>
      </c>
      <c r="T180" s="168" t="s">
        <v>4603</v>
      </c>
      <c r="U180" s="168">
        <v>172025</v>
      </c>
      <c r="V180" s="113">
        <v>245.52809999999999</v>
      </c>
      <c r="W180" s="113">
        <f t="shared" si="48"/>
        <v>42236971.402499996</v>
      </c>
      <c r="X180" s="99" t="s">
        <v>452</v>
      </c>
      <c r="AB180" t="s">
        <v>25</v>
      </c>
      <c r="AH180" s="99">
        <v>160</v>
      </c>
      <c r="AI180" s="113" t="s">
        <v>5067</v>
      </c>
      <c r="AJ180" s="113">
        <v>120000</v>
      </c>
      <c r="AK180" s="99">
        <v>6</v>
      </c>
      <c r="AL180" s="20">
        <f>AL181+AK180</f>
        <v>200</v>
      </c>
      <c r="AM180" s="117">
        <f>AJ180*AL180</f>
        <v>24000000</v>
      </c>
      <c r="AN180" s="20"/>
    </row>
    <row r="181" spans="5:43">
      <c r="P181" s="114"/>
      <c r="Q181" s="99" t="s">
        <v>5668</v>
      </c>
      <c r="R181" s="95">
        <v>0</v>
      </c>
      <c r="S181" s="115"/>
      <c r="T181" s="168" t="s">
        <v>4603</v>
      </c>
      <c r="U181" s="168">
        <v>189227</v>
      </c>
      <c r="V181" s="113">
        <v>245.52809999999999</v>
      </c>
      <c r="W181" s="113">
        <f t="shared" si="48"/>
        <v>46460545.778700002</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5660</v>
      </c>
      <c r="R182" s="95">
        <v>1265000</v>
      </c>
      <c r="S182" s="115"/>
      <c r="T182" s="168" t="s">
        <v>4604</v>
      </c>
      <c r="U182" s="168">
        <v>79720</v>
      </c>
      <c r="V182" s="113">
        <v>246.6568</v>
      </c>
      <c r="W182" s="113">
        <f t="shared" si="48"/>
        <v>19663480.096000001</v>
      </c>
      <c r="X182" s="99" t="s">
        <v>452</v>
      </c>
      <c r="Y182" t="s">
        <v>25</v>
      </c>
      <c r="AH182" s="99">
        <v>162</v>
      </c>
      <c r="AI182" s="113" t="s">
        <v>5089</v>
      </c>
      <c r="AJ182" s="113">
        <v>65000</v>
      </c>
      <c r="AK182" s="99">
        <v>7</v>
      </c>
      <c r="AL182" s="20">
        <f>AL183+AK182</f>
        <v>185</v>
      </c>
      <c r="AM182" s="117">
        <f>AJ182*AL182</f>
        <v>12025000</v>
      </c>
      <c r="AN182" s="20"/>
    </row>
    <row r="183" spans="5:43">
      <c r="P183" s="114"/>
      <c r="Q183" s="99" t="s">
        <v>4444</v>
      </c>
      <c r="R183" s="95">
        <f>SUM(R167:R182)</f>
        <v>9944075363.6000004</v>
      </c>
      <c r="T183" s="168" t="s">
        <v>4604</v>
      </c>
      <c r="U183" s="168">
        <v>79720</v>
      </c>
      <c r="V183" s="113">
        <v>246.6568</v>
      </c>
      <c r="W183" s="113">
        <f t="shared" si="48"/>
        <v>19663480.096000001</v>
      </c>
      <c r="X183" s="99" t="s">
        <v>749</v>
      </c>
      <c r="Z183" t="s">
        <v>25</v>
      </c>
      <c r="AH183" s="99">
        <v>163</v>
      </c>
      <c r="AI183" s="113" t="s">
        <v>5099</v>
      </c>
      <c r="AJ183" s="113">
        <v>-312598</v>
      </c>
      <c r="AK183" s="99">
        <v>0</v>
      </c>
      <c r="AL183" s="20">
        <f t="shared" ref="AL183:AL190" si="49">AL184+AK183</f>
        <v>178</v>
      </c>
      <c r="AM183" s="117">
        <f t="shared" ref="AM183:AM190" si="50">AJ183*AL183</f>
        <v>-55642444</v>
      </c>
      <c r="AN183" s="20"/>
      <c r="AO183" t="s">
        <v>25</v>
      </c>
      <c r="AQ183" t="s">
        <v>25</v>
      </c>
    </row>
    <row r="184" spans="5:43">
      <c r="G184" s="32" t="s">
        <v>180</v>
      </c>
      <c r="H184" s="32" t="s">
        <v>5601</v>
      </c>
      <c r="I184" s="213" t="s">
        <v>5602</v>
      </c>
      <c r="J184" s="213" t="s">
        <v>5603</v>
      </c>
      <c r="K184" s="32" t="s">
        <v>5604</v>
      </c>
      <c r="L184" s="99" t="s">
        <v>5618</v>
      </c>
      <c r="M184" s="99" t="s">
        <v>5619</v>
      </c>
      <c r="P184" s="114"/>
      <c r="Q184" s="96"/>
      <c r="T184" s="168" t="s">
        <v>4627</v>
      </c>
      <c r="U184" s="168">
        <v>17769</v>
      </c>
      <c r="V184" s="113">
        <v>246.17877999999999</v>
      </c>
      <c r="W184" s="113">
        <f t="shared" si="48"/>
        <v>4374350.7418200001</v>
      </c>
      <c r="X184" s="99" t="s">
        <v>749</v>
      </c>
      <c r="AH184" s="99">
        <v>164</v>
      </c>
      <c r="AI184" s="113" t="s">
        <v>5099</v>
      </c>
      <c r="AJ184" s="113">
        <v>50000</v>
      </c>
      <c r="AK184" s="99">
        <v>6</v>
      </c>
      <c r="AL184" s="20">
        <f t="shared" si="49"/>
        <v>178</v>
      </c>
      <c r="AM184" s="117">
        <f t="shared" si="50"/>
        <v>8900000</v>
      </c>
      <c r="AN184" s="20"/>
    </row>
    <row r="185" spans="5:43">
      <c r="G185" s="32" t="s">
        <v>5583</v>
      </c>
      <c r="H185" s="32">
        <v>3256760</v>
      </c>
      <c r="I185" s="213">
        <v>245992</v>
      </c>
      <c r="J185" s="213">
        <v>2544443</v>
      </c>
      <c r="K185" s="32">
        <v>192693</v>
      </c>
      <c r="L185" s="99">
        <f>H185+J185</f>
        <v>5801203</v>
      </c>
      <c r="M185" s="99">
        <f>I185+K185</f>
        <v>438685</v>
      </c>
      <c r="P185" s="114"/>
      <c r="T185" s="168" t="s">
        <v>4627</v>
      </c>
      <c r="U185" s="168">
        <v>17769</v>
      </c>
      <c r="V185" s="113">
        <v>246.17877999999999</v>
      </c>
      <c r="W185" s="113">
        <f t="shared" si="48"/>
        <v>4374350.7418200001</v>
      </c>
      <c r="X185" s="99" t="s">
        <v>452</v>
      </c>
      <c r="Y185" t="s">
        <v>25</v>
      </c>
      <c r="Z185" t="s">
        <v>25</v>
      </c>
      <c r="AH185" s="99">
        <v>165</v>
      </c>
      <c r="AI185" s="113" t="s">
        <v>5109</v>
      </c>
      <c r="AJ185" s="113">
        <v>-200000</v>
      </c>
      <c r="AK185" s="99">
        <v>0</v>
      </c>
      <c r="AL185" s="20">
        <f t="shared" si="49"/>
        <v>172</v>
      </c>
      <c r="AM185" s="117">
        <f t="shared" si="50"/>
        <v>-34400000</v>
      </c>
      <c r="AN185" s="20" t="s">
        <v>5110</v>
      </c>
    </row>
    <row r="186" spans="5:43">
      <c r="G186" s="32" t="s">
        <v>5605</v>
      </c>
      <c r="H186" s="32">
        <v>3245022</v>
      </c>
      <c r="I186" s="213">
        <v>249261</v>
      </c>
      <c r="J186" s="213">
        <v>2532877</v>
      </c>
      <c r="K186" s="32">
        <v>195062</v>
      </c>
      <c r="L186" s="99">
        <f>H186+J186</f>
        <v>5777899</v>
      </c>
      <c r="M186" s="99">
        <f>I186+K186</f>
        <v>444323</v>
      </c>
      <c r="P186" s="114"/>
      <c r="Q186" s="213" t="s">
        <v>8</v>
      </c>
      <c r="R186" s="213" t="s">
        <v>4434</v>
      </c>
      <c r="S186" s="213"/>
      <c r="T186" s="168" t="s">
        <v>4629</v>
      </c>
      <c r="U186" s="168">
        <v>12438</v>
      </c>
      <c r="V186" s="113">
        <v>241.20465999999999</v>
      </c>
      <c r="W186" s="113">
        <f t="shared" si="48"/>
        <v>3000103.5610799999</v>
      </c>
      <c r="X186" s="99" t="s">
        <v>4434</v>
      </c>
      <c r="AH186" s="99">
        <v>166</v>
      </c>
      <c r="AI186" s="113" t="s">
        <v>5109</v>
      </c>
      <c r="AJ186" s="113">
        <v>200000</v>
      </c>
      <c r="AK186" s="99">
        <v>3</v>
      </c>
      <c r="AL186" s="20">
        <f t="shared" si="49"/>
        <v>172</v>
      </c>
      <c r="AM186" s="117">
        <f t="shared" si="50"/>
        <v>34400000</v>
      </c>
      <c r="AN186" s="20"/>
      <c r="AQ186" t="s">
        <v>25</v>
      </c>
    </row>
    <row r="187" spans="5:43">
      <c r="G187" s="32" t="s">
        <v>5606</v>
      </c>
      <c r="H187" s="32"/>
      <c r="I187" s="213"/>
      <c r="J187" s="213"/>
      <c r="K187" s="32"/>
      <c r="L187" s="99">
        <f t="shared" ref="L187:L196" si="51">H187+J187</f>
        <v>0</v>
      </c>
      <c r="M187" s="99">
        <f t="shared" ref="M187:M196" si="52">I187+K187</f>
        <v>0</v>
      </c>
      <c r="P187" t="s">
        <v>25</v>
      </c>
      <c r="Q187" s="213"/>
      <c r="R187" s="73" t="s">
        <v>180</v>
      </c>
      <c r="S187" s="213" t="s">
        <v>267</v>
      </c>
      <c r="T187" s="168" t="s">
        <v>4638</v>
      </c>
      <c r="U187" s="168">
        <v>27363</v>
      </c>
      <c r="V187" s="113">
        <v>239.3886</v>
      </c>
      <c r="W187" s="113">
        <f t="shared" si="48"/>
        <v>6550390.2617999995</v>
      </c>
      <c r="X187" s="99" t="s">
        <v>749</v>
      </c>
      <c r="Y187" t="s">
        <v>25</v>
      </c>
      <c r="Z187" t="s">
        <v>25</v>
      </c>
      <c r="AH187" s="99">
        <v>167</v>
      </c>
      <c r="AI187" s="113" t="s">
        <v>5116</v>
      </c>
      <c r="AJ187" s="113">
        <v>200000</v>
      </c>
      <c r="AK187" s="99">
        <v>3</v>
      </c>
      <c r="AL187" s="20">
        <f t="shared" si="49"/>
        <v>169</v>
      </c>
      <c r="AM187" s="117">
        <f t="shared" si="50"/>
        <v>33800000</v>
      </c>
      <c r="AN187" s="20"/>
    </row>
    <row r="188" spans="5:43">
      <c r="G188" s="32" t="s">
        <v>5607</v>
      </c>
      <c r="H188" s="32"/>
      <c r="I188" s="213"/>
      <c r="J188" s="213"/>
      <c r="K188" s="32"/>
      <c r="L188" s="99">
        <f t="shared" si="51"/>
        <v>0</v>
      </c>
      <c r="M188" s="99">
        <f t="shared" si="52"/>
        <v>0</v>
      </c>
      <c r="O188" s="96"/>
      <c r="P188" s="114"/>
      <c r="Q188" s="213"/>
      <c r="R188" s="213" t="s">
        <v>4427</v>
      </c>
      <c r="S188" s="113">
        <v>3000000</v>
      </c>
      <c r="T188" s="168" t="s">
        <v>4638</v>
      </c>
      <c r="U188" s="168">
        <v>27363</v>
      </c>
      <c r="V188" s="113">
        <v>239.3886</v>
      </c>
      <c r="W188" s="113">
        <f t="shared" si="48"/>
        <v>6550390.2617999995</v>
      </c>
      <c r="X188" s="99" t="s">
        <v>452</v>
      </c>
      <c r="AH188" s="99">
        <v>168</v>
      </c>
      <c r="AI188" s="113" t="s">
        <v>5119</v>
      </c>
      <c r="AJ188" s="113">
        <v>30000</v>
      </c>
      <c r="AK188" s="99">
        <v>7</v>
      </c>
      <c r="AL188" s="20">
        <f t="shared" si="49"/>
        <v>166</v>
      </c>
      <c r="AM188" s="117">
        <f t="shared" si="50"/>
        <v>4980000</v>
      </c>
      <c r="AN188" s="20"/>
    </row>
    <row r="189" spans="5:43">
      <c r="G189" s="32" t="s">
        <v>5636</v>
      </c>
      <c r="H189" s="32">
        <v>3270584</v>
      </c>
      <c r="I189" s="213">
        <v>250916</v>
      </c>
      <c r="J189" s="213">
        <v>2496979</v>
      </c>
      <c r="K189" s="32">
        <v>203160</v>
      </c>
      <c r="L189" s="99">
        <f t="shared" si="51"/>
        <v>5767563</v>
      </c>
      <c r="M189" s="99">
        <f t="shared" si="52"/>
        <v>454076</v>
      </c>
      <c r="O189" t="s">
        <v>25</v>
      </c>
      <c r="Q189" s="213"/>
      <c r="R189" s="213" t="s">
        <v>4475</v>
      </c>
      <c r="S189" s="113">
        <v>2000000</v>
      </c>
      <c r="T189" s="210" t="s">
        <v>4640</v>
      </c>
      <c r="U189" s="210">
        <v>27437</v>
      </c>
      <c r="V189" s="113">
        <v>242.4015</v>
      </c>
      <c r="W189" s="113">
        <f t="shared" si="48"/>
        <v>6650769.9555000002</v>
      </c>
      <c r="X189" s="99" t="s">
        <v>749</v>
      </c>
      <c r="Y189" t="s">
        <v>25</v>
      </c>
      <c r="AH189" s="99">
        <v>169</v>
      </c>
      <c r="AI189" s="113" t="s">
        <v>5077</v>
      </c>
      <c r="AJ189" s="113">
        <v>-10000000</v>
      </c>
      <c r="AK189" s="99">
        <v>0</v>
      </c>
      <c r="AL189" s="20">
        <f t="shared" si="49"/>
        <v>159</v>
      </c>
      <c r="AM189" s="117">
        <f t="shared" si="50"/>
        <v>-1590000000</v>
      </c>
      <c r="AN189" s="20" t="s">
        <v>5034</v>
      </c>
    </row>
    <row r="190" spans="5:43">
      <c r="G190" s="32" t="s">
        <v>5637</v>
      </c>
      <c r="H190" s="32">
        <v>3225584</v>
      </c>
      <c r="I190" s="213">
        <v>260042</v>
      </c>
      <c r="J190" s="213">
        <v>2466124</v>
      </c>
      <c r="K190" s="32">
        <v>210439</v>
      </c>
      <c r="L190" s="99">
        <f t="shared" si="51"/>
        <v>5691708</v>
      </c>
      <c r="M190" s="99">
        <f t="shared" si="52"/>
        <v>470481</v>
      </c>
      <c r="P190" s="114"/>
      <c r="Q190" s="213"/>
      <c r="R190" s="213" t="s">
        <v>4483</v>
      </c>
      <c r="S190" s="113">
        <v>1000000</v>
      </c>
      <c r="T190" s="210" t="s">
        <v>4640</v>
      </c>
      <c r="U190" s="210">
        <v>29104</v>
      </c>
      <c r="V190" s="113">
        <v>242.4015</v>
      </c>
      <c r="W190" s="113">
        <f t="shared" si="48"/>
        <v>7054853.2560000001</v>
      </c>
      <c r="X190" s="99" t="s">
        <v>452</v>
      </c>
      <c r="Y190" t="s">
        <v>25</v>
      </c>
      <c r="AH190" s="99">
        <v>170</v>
      </c>
      <c r="AI190" s="113" t="s">
        <v>5077</v>
      </c>
      <c r="AJ190" s="113">
        <v>6000000</v>
      </c>
      <c r="AK190" s="99">
        <v>8</v>
      </c>
      <c r="AL190" s="20">
        <f t="shared" si="49"/>
        <v>159</v>
      </c>
      <c r="AM190" s="117">
        <f t="shared" si="50"/>
        <v>954000000</v>
      </c>
      <c r="AN190" s="20"/>
      <c r="AP190" t="s">
        <v>25</v>
      </c>
    </row>
    <row r="191" spans="5:43">
      <c r="G191" s="32" t="s">
        <v>5639</v>
      </c>
      <c r="H191" s="32">
        <v>3271778</v>
      </c>
      <c r="I191" s="213">
        <v>282233</v>
      </c>
      <c r="J191" s="213">
        <v>2458563</v>
      </c>
      <c r="K191" s="32">
        <v>212082</v>
      </c>
      <c r="L191" s="99">
        <f t="shared" si="51"/>
        <v>5730341</v>
      </c>
      <c r="M191" s="99">
        <f t="shared" si="52"/>
        <v>494315</v>
      </c>
      <c r="O191" t="s">
        <v>25</v>
      </c>
      <c r="P191" s="114"/>
      <c r="Q191" s="213"/>
      <c r="R191" s="213" t="s">
        <v>4489</v>
      </c>
      <c r="S191" s="113">
        <v>2000000</v>
      </c>
      <c r="T191" s="213" t="s">
        <v>4657</v>
      </c>
      <c r="U191" s="213">
        <v>8991</v>
      </c>
      <c r="V191" s="113">
        <v>238.64867000000001</v>
      </c>
      <c r="W191" s="113">
        <f t="shared" si="48"/>
        <v>2145690.19197</v>
      </c>
      <c r="X191" s="99" t="s">
        <v>749</v>
      </c>
      <c r="Y191" t="s">
        <v>25</v>
      </c>
      <c r="AH191" s="99">
        <v>171</v>
      </c>
      <c r="AI191" s="113" t="s">
        <v>5146</v>
      </c>
      <c r="AJ191" s="113">
        <v>150000</v>
      </c>
      <c r="AK191" s="99">
        <v>7</v>
      </c>
      <c r="AL191" s="20">
        <f>AL192+AK191</f>
        <v>151</v>
      </c>
      <c r="AM191" s="117">
        <f>AJ191*AL191</f>
        <v>22650000</v>
      </c>
      <c r="AN191" s="20"/>
    </row>
    <row r="192" spans="5:43">
      <c r="G192" s="32" t="s">
        <v>5647</v>
      </c>
      <c r="H192" s="32">
        <v>3298939</v>
      </c>
      <c r="I192" s="213">
        <v>281309</v>
      </c>
      <c r="J192" s="213">
        <v>2465538</v>
      </c>
      <c r="K192" s="32">
        <v>210242</v>
      </c>
      <c r="L192" s="99">
        <f t="shared" si="51"/>
        <v>5764477</v>
      </c>
      <c r="M192" s="99">
        <f t="shared" si="52"/>
        <v>491551</v>
      </c>
      <c r="Q192" s="213"/>
      <c r="R192" s="213" t="s">
        <v>991</v>
      </c>
      <c r="S192" s="113">
        <v>3000000</v>
      </c>
      <c r="T192" s="213" t="s">
        <v>4657</v>
      </c>
      <c r="U192" s="213">
        <v>8991</v>
      </c>
      <c r="V192" s="113">
        <v>238.64867000000001</v>
      </c>
      <c r="W192" s="113">
        <f t="shared" si="48"/>
        <v>2145690.19197</v>
      </c>
      <c r="X192" s="99" t="s">
        <v>452</v>
      </c>
      <c r="AH192" s="99">
        <v>172</v>
      </c>
      <c r="AI192" s="113" t="s">
        <v>5182</v>
      </c>
      <c r="AJ192" s="113">
        <v>400000</v>
      </c>
      <c r="AK192" s="99">
        <v>1</v>
      </c>
      <c r="AL192" s="20">
        <f>AL193+AK192</f>
        <v>144</v>
      </c>
      <c r="AM192" s="117">
        <f>AJ192*AL192</f>
        <v>57600000</v>
      </c>
      <c r="AN192" s="20"/>
    </row>
    <row r="193" spans="7:45">
      <c r="G193" s="32" t="s">
        <v>5651</v>
      </c>
      <c r="H193" s="32">
        <v>3453903</v>
      </c>
      <c r="I193" s="213">
        <v>259725</v>
      </c>
      <c r="J193" s="213">
        <v>2541096</v>
      </c>
      <c r="K193" s="32">
        <v>191084</v>
      </c>
      <c r="L193" s="99">
        <f t="shared" si="51"/>
        <v>5994999</v>
      </c>
      <c r="M193" s="99">
        <f t="shared" si="52"/>
        <v>450809</v>
      </c>
      <c r="Q193" s="213"/>
      <c r="R193" s="213" t="s">
        <v>4629</v>
      </c>
      <c r="S193" s="113">
        <v>3000000</v>
      </c>
      <c r="T193" s="213" t="s">
        <v>4668</v>
      </c>
      <c r="U193" s="213">
        <v>18170</v>
      </c>
      <c r="V193" s="113">
        <v>240.48475999999999</v>
      </c>
      <c r="W193" s="113">
        <f t="shared" si="48"/>
        <v>4369608.0892000003</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t="s">
        <v>4802</v>
      </c>
      <c r="R194" s="213" t="s">
        <v>4797</v>
      </c>
      <c r="S194" s="113">
        <v>-800000</v>
      </c>
      <c r="T194" s="213" t="s">
        <v>4668</v>
      </c>
      <c r="U194" s="213">
        <v>18170</v>
      </c>
      <c r="V194" s="113">
        <v>240.48475999999999</v>
      </c>
      <c r="W194" s="113">
        <f t="shared" si="48"/>
        <v>4369608.0892000003</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4803</v>
      </c>
      <c r="R195" s="213" t="s">
        <v>4797</v>
      </c>
      <c r="S195" s="113">
        <v>-900000</v>
      </c>
      <c r="T195" s="213" t="s">
        <v>4670</v>
      </c>
      <c r="U195" s="213">
        <v>36797</v>
      </c>
      <c r="V195" s="113">
        <v>239.0822</v>
      </c>
      <c r="W195" s="113">
        <f t="shared" si="48"/>
        <v>8797507.7134000007</v>
      </c>
      <c r="X195" s="99" t="s">
        <v>749</v>
      </c>
      <c r="AH195" s="99">
        <v>175</v>
      </c>
      <c r="AI195" s="113" t="s">
        <v>5195</v>
      </c>
      <c r="AJ195" s="113">
        <v>-400000</v>
      </c>
      <c r="AK195" s="99">
        <v>6</v>
      </c>
      <c r="AL195" s="20">
        <f t="shared" ref="AL195:AL203" si="53">AL196+AK195</f>
        <v>141</v>
      </c>
      <c r="AM195" s="117">
        <f t="shared" ref="AM195:AM203" si="54">AJ195*AL195</f>
        <v>-56400000</v>
      </c>
      <c r="AN195" s="20"/>
    </row>
    <row r="196" spans="7:45">
      <c r="G196" s="32"/>
      <c r="H196" s="32"/>
      <c r="I196" s="213"/>
      <c r="J196" s="213"/>
      <c r="K196" s="32"/>
      <c r="L196" s="99">
        <f t="shared" si="51"/>
        <v>0</v>
      </c>
      <c r="M196" s="99">
        <f t="shared" si="52"/>
        <v>0</v>
      </c>
      <c r="Q196" s="213" t="s">
        <v>4803</v>
      </c>
      <c r="R196" s="213" t="s">
        <v>978</v>
      </c>
      <c r="S196" s="113">
        <v>-1100000</v>
      </c>
      <c r="T196" s="213" t="s">
        <v>4670</v>
      </c>
      <c r="U196" s="213">
        <v>36797</v>
      </c>
      <c r="V196" s="113">
        <v>239.0822</v>
      </c>
      <c r="W196" s="113">
        <f t="shared" si="48"/>
        <v>8797507.7134000007</v>
      </c>
      <c r="X196" s="99" t="s">
        <v>452</v>
      </c>
      <c r="Z196" t="s">
        <v>25</v>
      </c>
      <c r="AA196" t="s">
        <v>25</v>
      </c>
      <c r="AH196" s="99">
        <v>176</v>
      </c>
      <c r="AI196" s="113" t="s">
        <v>5202</v>
      </c>
      <c r="AJ196" s="113">
        <v>1300000</v>
      </c>
      <c r="AK196" s="99">
        <v>0</v>
      </c>
      <c r="AL196" s="20">
        <f t="shared" si="53"/>
        <v>135</v>
      </c>
      <c r="AM196" s="117">
        <f t="shared" si="54"/>
        <v>175500000</v>
      </c>
      <c r="AN196" s="20"/>
      <c r="AR196" t="s">
        <v>25</v>
      </c>
    </row>
    <row r="197" spans="7:45">
      <c r="Q197" s="190" t="s">
        <v>1083</v>
      </c>
      <c r="R197" s="190" t="s">
        <v>4826</v>
      </c>
      <c r="S197" s="196">
        <v>30000000</v>
      </c>
      <c r="T197" s="213" t="s">
        <v>4679</v>
      </c>
      <c r="U197" s="213">
        <v>28066</v>
      </c>
      <c r="V197" s="113">
        <v>237.56970000000001</v>
      </c>
      <c r="W197" s="113">
        <f t="shared" si="48"/>
        <v>6667631.2002000008</v>
      </c>
      <c r="X197" s="99" t="s">
        <v>749</v>
      </c>
      <c r="Y197" t="s">
        <v>25</v>
      </c>
      <c r="AH197" s="99">
        <v>177</v>
      </c>
      <c r="AI197" s="113" t="s">
        <v>5202</v>
      </c>
      <c r="AJ197" s="113">
        <v>230000</v>
      </c>
      <c r="AK197" s="99">
        <v>1</v>
      </c>
      <c r="AL197" s="20">
        <f t="shared" si="53"/>
        <v>135</v>
      </c>
      <c r="AM197" s="117">
        <f t="shared" si="54"/>
        <v>31050000</v>
      </c>
      <c r="AN197" s="20"/>
    </row>
    <row r="198" spans="7:45">
      <c r="Q198" s="19" t="s">
        <v>4909</v>
      </c>
      <c r="R198" s="19" t="s">
        <v>4907</v>
      </c>
      <c r="S198" s="117">
        <v>2000000</v>
      </c>
      <c r="T198" s="213" t="s">
        <v>4679</v>
      </c>
      <c r="U198" s="213">
        <v>28066</v>
      </c>
      <c r="V198" s="113">
        <v>237.56970000000001</v>
      </c>
      <c r="W198" s="113">
        <f t="shared" si="48"/>
        <v>6667631.2002000008</v>
      </c>
      <c r="X198" s="99" t="s">
        <v>452</v>
      </c>
      <c r="Y198" t="s">
        <v>25</v>
      </c>
      <c r="AH198" s="99">
        <v>178</v>
      </c>
      <c r="AI198" s="113" t="s">
        <v>5205</v>
      </c>
      <c r="AJ198" s="113">
        <v>880000</v>
      </c>
      <c r="AK198" s="99">
        <v>4</v>
      </c>
      <c r="AL198" s="20">
        <f t="shared" si="53"/>
        <v>134</v>
      </c>
      <c r="AM198" s="117">
        <f t="shared" si="54"/>
        <v>117920000</v>
      </c>
      <c r="AN198" s="20"/>
    </row>
    <row r="199" spans="7:45">
      <c r="K199" t="s">
        <v>25</v>
      </c>
      <c r="M199" t="s">
        <v>25</v>
      </c>
      <c r="Q199" s="189" t="s">
        <v>4934</v>
      </c>
      <c r="R199" s="189" t="s">
        <v>4933</v>
      </c>
      <c r="S199" s="188">
        <v>480105</v>
      </c>
      <c r="T199" s="213" t="s">
        <v>3680</v>
      </c>
      <c r="U199" s="213">
        <v>37457</v>
      </c>
      <c r="V199" s="113">
        <v>239.77</v>
      </c>
      <c r="W199" s="113">
        <f t="shared" si="48"/>
        <v>8981064.8900000006</v>
      </c>
      <c r="X199" s="99" t="s">
        <v>749</v>
      </c>
      <c r="Y199" t="s">
        <v>25</v>
      </c>
      <c r="AH199" s="99">
        <v>179</v>
      </c>
      <c r="AI199" s="113" t="s">
        <v>5210</v>
      </c>
      <c r="AJ199" s="113">
        <v>-900000</v>
      </c>
      <c r="AK199" s="99">
        <v>1</v>
      </c>
      <c r="AL199" s="20">
        <f t="shared" si="53"/>
        <v>130</v>
      </c>
      <c r="AM199" s="117">
        <f t="shared" si="54"/>
        <v>-117000000</v>
      </c>
      <c r="AN199" s="20"/>
    </row>
    <row r="200" spans="7:45">
      <c r="G200" s="99" t="s">
        <v>5588</v>
      </c>
      <c r="H200" s="99"/>
      <c r="I200" s="99"/>
      <c r="P200" s="114"/>
      <c r="Q200" s="189"/>
      <c r="R200" s="189" t="s">
        <v>4978</v>
      </c>
      <c r="S200" s="188">
        <v>30500000</v>
      </c>
      <c r="T200" s="213" t="s">
        <v>3680</v>
      </c>
      <c r="U200" s="213">
        <v>37457</v>
      </c>
      <c r="V200" s="113">
        <v>239.77</v>
      </c>
      <c r="W200" s="113">
        <f t="shared" si="48"/>
        <v>8981064.8900000006</v>
      </c>
      <c r="X200" s="99" t="s">
        <v>452</v>
      </c>
      <c r="AH200" s="99">
        <v>180</v>
      </c>
      <c r="AI200" s="113" t="s">
        <v>989</v>
      </c>
      <c r="AJ200" s="113">
        <v>-3500000</v>
      </c>
      <c r="AK200" s="99">
        <v>1</v>
      </c>
      <c r="AL200" s="20">
        <f t="shared" si="53"/>
        <v>129</v>
      </c>
      <c r="AM200" s="117">
        <f t="shared" si="54"/>
        <v>-451500000</v>
      </c>
      <c r="AN200" s="20"/>
      <c r="AR200" t="s">
        <v>25</v>
      </c>
    </row>
    <row r="201" spans="7:45">
      <c r="G201" s="99" t="s">
        <v>452</v>
      </c>
      <c r="H201" s="99">
        <v>199</v>
      </c>
      <c r="I201" s="99" t="s">
        <v>5592</v>
      </c>
      <c r="M201" t="s">
        <v>25</v>
      </c>
      <c r="P201" s="114"/>
      <c r="Q201" s="19" t="s">
        <v>5009</v>
      </c>
      <c r="R201" s="19" t="s">
        <v>5004</v>
      </c>
      <c r="S201" s="117">
        <v>-400000</v>
      </c>
      <c r="T201" s="213" t="s">
        <v>4691</v>
      </c>
      <c r="U201" s="213">
        <v>38412</v>
      </c>
      <c r="V201" s="113">
        <v>239.03</v>
      </c>
      <c r="W201" s="113">
        <f t="shared" si="48"/>
        <v>9181620.3599999994</v>
      </c>
      <c r="X201" s="99" t="s">
        <v>749</v>
      </c>
      <c r="Z201" t="s">
        <v>25</v>
      </c>
      <c r="AH201" s="99">
        <v>181</v>
      </c>
      <c r="AI201" s="113" t="s">
        <v>4270</v>
      </c>
      <c r="AJ201" s="113">
        <v>-1600000</v>
      </c>
      <c r="AK201" s="99">
        <v>1</v>
      </c>
      <c r="AL201" s="20">
        <f t="shared" si="53"/>
        <v>128</v>
      </c>
      <c r="AM201" s="117">
        <f t="shared" si="54"/>
        <v>-204800000</v>
      </c>
      <c r="AN201" s="20"/>
      <c r="AQ201" t="s">
        <v>25</v>
      </c>
    </row>
    <row r="202" spans="7:45">
      <c r="G202" s="99" t="s">
        <v>749</v>
      </c>
      <c r="H202" s="99">
        <v>200</v>
      </c>
      <c r="I202" s="99" t="s">
        <v>5593</v>
      </c>
      <c r="P202" s="114"/>
      <c r="Q202" s="189" t="s">
        <v>5122</v>
      </c>
      <c r="R202" s="189" t="s">
        <v>5039</v>
      </c>
      <c r="S202" s="188">
        <v>-349550</v>
      </c>
      <c r="T202" s="213" t="s">
        <v>4691</v>
      </c>
      <c r="U202" s="213">
        <v>38412</v>
      </c>
      <c r="V202" s="113">
        <v>239.03</v>
      </c>
      <c r="W202" s="113">
        <f t="shared" si="48"/>
        <v>9181620.3599999994</v>
      </c>
      <c r="X202" s="99" t="s">
        <v>452</v>
      </c>
      <c r="AH202" s="99">
        <v>182</v>
      </c>
      <c r="AI202" s="113" t="s">
        <v>5216</v>
      </c>
      <c r="AJ202" s="113">
        <v>-800000</v>
      </c>
      <c r="AK202" s="99">
        <v>7</v>
      </c>
      <c r="AL202" s="20">
        <f t="shared" si="53"/>
        <v>127</v>
      </c>
      <c r="AM202" s="117">
        <f t="shared" si="54"/>
        <v>-101600000</v>
      </c>
      <c r="AN202" s="20"/>
    </row>
    <row r="203" spans="7:45">
      <c r="G203" s="99" t="s">
        <v>5551</v>
      </c>
      <c r="H203" s="99">
        <v>200</v>
      </c>
      <c r="I203" s="99" t="s">
        <v>5643</v>
      </c>
      <c r="P203" s="114"/>
      <c r="Q203" s="189" t="s">
        <v>5152</v>
      </c>
      <c r="R203" s="189" t="s">
        <v>5149</v>
      </c>
      <c r="S203" s="188">
        <v>11500000</v>
      </c>
      <c r="T203" s="213" t="s">
        <v>4694</v>
      </c>
      <c r="U203" s="213">
        <v>49555</v>
      </c>
      <c r="V203" s="113">
        <v>238.345</v>
      </c>
      <c r="W203" s="113">
        <f t="shared" si="48"/>
        <v>11811186.475</v>
      </c>
      <c r="X203" s="99" t="s">
        <v>749</v>
      </c>
      <c r="Y203" s="122" t="s">
        <v>25</v>
      </c>
      <c r="AH203" s="99">
        <v>183</v>
      </c>
      <c r="AI203" s="113" t="s">
        <v>5225</v>
      </c>
      <c r="AJ203" s="113">
        <v>50000</v>
      </c>
      <c r="AK203" s="99">
        <v>2</v>
      </c>
      <c r="AL203" s="20">
        <f t="shared" si="53"/>
        <v>120</v>
      </c>
      <c r="AM203" s="117">
        <f t="shared" si="54"/>
        <v>6000000</v>
      </c>
      <c r="AN203" s="20"/>
    </row>
    <row r="204" spans="7:45">
      <c r="G204" s="99" t="s">
        <v>1083</v>
      </c>
      <c r="H204" s="99">
        <v>200</v>
      </c>
      <c r="I204" s="99" t="s">
        <v>5594</v>
      </c>
      <c r="P204" s="114"/>
      <c r="Q204" s="189" t="s">
        <v>5181</v>
      </c>
      <c r="R204" s="189" t="s">
        <v>5180</v>
      </c>
      <c r="S204" s="188">
        <v>6000000</v>
      </c>
      <c r="T204" s="213" t="s">
        <v>4694</v>
      </c>
      <c r="U204" s="213">
        <v>49555</v>
      </c>
      <c r="V204" s="113">
        <v>238.345</v>
      </c>
      <c r="W204" s="113">
        <f t="shared" si="48"/>
        <v>11811186.475</v>
      </c>
      <c r="X204" s="99" t="s">
        <v>452</v>
      </c>
      <c r="AH204" s="99">
        <v>184</v>
      </c>
      <c r="AI204" s="113" t="s">
        <v>5227</v>
      </c>
      <c r="AJ204" s="113">
        <v>400000</v>
      </c>
      <c r="AK204" s="99">
        <v>8</v>
      </c>
      <c r="AL204" s="20">
        <f t="shared" ref="AL204:AL213" si="55">AL205+AK204</f>
        <v>118</v>
      </c>
      <c r="AM204" s="117">
        <f t="shared" ref="AM204:AM213" si="56">AJ204*AL204</f>
        <v>47200000</v>
      </c>
      <c r="AN204" s="20"/>
      <c r="AR204" t="s">
        <v>25</v>
      </c>
    </row>
    <row r="205" spans="7:45">
      <c r="G205" s="99"/>
      <c r="H205" s="99"/>
      <c r="I205" s="99"/>
      <c r="P205" s="114"/>
      <c r="Q205" s="189" t="s">
        <v>5183</v>
      </c>
      <c r="R205" s="189" t="s">
        <v>5182</v>
      </c>
      <c r="S205" s="188">
        <v>1500000</v>
      </c>
      <c r="T205" s="213" t="s">
        <v>4708</v>
      </c>
      <c r="U205" s="213">
        <v>160187</v>
      </c>
      <c r="V205" s="113">
        <v>257.49799999999999</v>
      </c>
      <c r="W205" s="113">
        <f t="shared" si="48"/>
        <v>41247832.126000002</v>
      </c>
      <c r="X205" s="99" t="s">
        <v>749</v>
      </c>
      <c r="Y205" t="s">
        <v>25</v>
      </c>
      <c r="AH205" s="99">
        <v>185</v>
      </c>
      <c r="AI205" s="113" t="s">
        <v>5200</v>
      </c>
      <c r="AJ205" s="113">
        <v>-10000000</v>
      </c>
      <c r="AK205" s="99">
        <v>0</v>
      </c>
      <c r="AL205" s="20">
        <f t="shared" si="55"/>
        <v>110</v>
      </c>
      <c r="AM205" s="117">
        <f t="shared" si="56"/>
        <v>-1100000000</v>
      </c>
      <c r="AN205" s="20" t="s">
        <v>5034</v>
      </c>
    </row>
    <row r="206" spans="7:45">
      <c r="G206" s="99"/>
      <c r="H206" s="99"/>
      <c r="I206" s="99"/>
      <c r="K206" t="s">
        <v>25</v>
      </c>
      <c r="M206" t="s">
        <v>25</v>
      </c>
      <c r="P206" s="114"/>
      <c r="Q206" s="19" t="s">
        <v>5009</v>
      </c>
      <c r="R206" s="19" t="s">
        <v>5190</v>
      </c>
      <c r="S206" s="117">
        <v>-200000</v>
      </c>
      <c r="T206" s="213" t="s">
        <v>4708</v>
      </c>
      <c r="U206" s="213">
        <v>160187</v>
      </c>
      <c r="V206" s="113">
        <v>257.49799999999999</v>
      </c>
      <c r="W206" s="113">
        <f t="shared" si="48"/>
        <v>41247832.126000002</v>
      </c>
      <c r="X206" s="99" t="s">
        <v>452</v>
      </c>
      <c r="AH206" s="99">
        <v>186</v>
      </c>
      <c r="AI206" s="113" t="s">
        <v>5200</v>
      </c>
      <c r="AJ206" s="113">
        <v>3000000</v>
      </c>
      <c r="AK206" s="99">
        <v>1</v>
      </c>
      <c r="AL206" s="20">
        <f t="shared" si="55"/>
        <v>110</v>
      </c>
      <c r="AM206" s="117">
        <f t="shared" si="56"/>
        <v>330000000</v>
      </c>
      <c r="AN206" s="20"/>
    </row>
    <row r="207" spans="7:45">
      <c r="G207" s="99"/>
      <c r="H207" s="99"/>
      <c r="I207" s="99"/>
      <c r="P207" s="114"/>
      <c r="Q207" s="190" t="s">
        <v>5211</v>
      </c>
      <c r="R207" s="190" t="s">
        <v>5210</v>
      </c>
      <c r="S207" s="196">
        <v>1000000</v>
      </c>
      <c r="T207" s="213" t="s">
        <v>4715</v>
      </c>
      <c r="U207" s="213">
        <v>144401</v>
      </c>
      <c r="V207" s="113">
        <v>258.5061</v>
      </c>
      <c r="W207" s="113">
        <f t="shared" si="48"/>
        <v>37328539.346100003</v>
      </c>
      <c r="X207" s="99" t="s">
        <v>749</v>
      </c>
      <c r="AH207" s="99">
        <v>187</v>
      </c>
      <c r="AI207" s="113" t="s">
        <v>5239</v>
      </c>
      <c r="AJ207" s="113">
        <v>500000</v>
      </c>
      <c r="AK207" s="99">
        <v>23</v>
      </c>
      <c r="AL207" s="20">
        <f t="shared" si="55"/>
        <v>109</v>
      </c>
      <c r="AM207" s="117">
        <f t="shared" si="56"/>
        <v>54500000</v>
      </c>
      <c r="AN207" s="20"/>
      <c r="AR207" t="s">
        <v>25</v>
      </c>
    </row>
    <row r="208" spans="7:45">
      <c r="G208" s="99"/>
      <c r="H208" s="99"/>
      <c r="I208" s="99"/>
      <c r="Q208" s="19" t="s">
        <v>5009</v>
      </c>
      <c r="R208" s="19" t="s">
        <v>5225</v>
      </c>
      <c r="S208" s="117">
        <v>-122000</v>
      </c>
      <c r="T208" s="213" t="s">
        <v>4715</v>
      </c>
      <c r="U208" s="213">
        <v>144401</v>
      </c>
      <c r="V208" s="113">
        <v>258.5061</v>
      </c>
      <c r="W208" s="113">
        <f t="shared" si="48"/>
        <v>37328539.346100003</v>
      </c>
      <c r="X208" s="99" t="s">
        <v>452</v>
      </c>
      <c r="AH208" s="99">
        <v>188</v>
      </c>
      <c r="AI208" s="113" t="s">
        <v>5263</v>
      </c>
      <c r="AJ208" s="113">
        <v>101268</v>
      </c>
      <c r="AK208" s="99">
        <v>1</v>
      </c>
      <c r="AL208" s="20">
        <f t="shared" si="55"/>
        <v>86</v>
      </c>
      <c r="AM208" s="117">
        <f t="shared" si="56"/>
        <v>8709048</v>
      </c>
      <c r="AN208" s="20"/>
      <c r="AR208" t="s">
        <v>25</v>
      </c>
    </row>
    <row r="209" spans="7:46">
      <c r="O209" t="s">
        <v>25</v>
      </c>
      <c r="P209" s="114"/>
      <c r="Q209" s="19" t="s">
        <v>5009</v>
      </c>
      <c r="R209" s="19" t="s">
        <v>5233</v>
      </c>
      <c r="S209" s="117">
        <v>-700000</v>
      </c>
      <c r="T209" s="168" t="s">
        <v>4721</v>
      </c>
      <c r="U209" s="168">
        <v>196500</v>
      </c>
      <c r="V209" s="113">
        <v>254.452</v>
      </c>
      <c r="W209" s="113">
        <f t="shared" si="48"/>
        <v>49999818</v>
      </c>
      <c r="X209" s="99" t="s">
        <v>4725</v>
      </c>
      <c r="AH209" s="99">
        <v>189</v>
      </c>
      <c r="AI209" s="113" t="s">
        <v>5266</v>
      </c>
      <c r="AJ209" s="113">
        <v>101000</v>
      </c>
      <c r="AK209" s="99">
        <v>34</v>
      </c>
      <c r="AL209" s="20">
        <f t="shared" si="55"/>
        <v>85</v>
      </c>
      <c r="AM209" s="117">
        <f t="shared" si="56"/>
        <v>8585000</v>
      </c>
      <c r="AN209" s="20"/>
      <c r="AP209" t="s">
        <v>25</v>
      </c>
      <c r="AT209" s="96" t="s">
        <v>25</v>
      </c>
    </row>
    <row r="210" spans="7:46">
      <c r="G210" s="213" t="s">
        <v>180</v>
      </c>
      <c r="H210" s="213" t="s">
        <v>5617</v>
      </c>
      <c r="I210" t="s">
        <v>5610</v>
      </c>
      <c r="P210" s="114"/>
      <c r="Q210" s="19" t="s">
        <v>5009</v>
      </c>
      <c r="R210" s="19" t="s">
        <v>5243</v>
      </c>
      <c r="S210" s="117">
        <v>-60000</v>
      </c>
      <c r="T210" s="213" t="s">
        <v>4721</v>
      </c>
      <c r="U210" s="213">
        <v>2561</v>
      </c>
      <c r="V210" s="113">
        <v>254.536</v>
      </c>
      <c r="W210" s="113">
        <f t="shared" si="48"/>
        <v>651866.696</v>
      </c>
      <c r="X210" s="99" t="s">
        <v>4726</v>
      </c>
      <c r="Y210" s="8" t="s">
        <v>25</v>
      </c>
      <c r="Z210" t="s">
        <v>25</v>
      </c>
      <c r="AH210" s="99">
        <v>190</v>
      </c>
      <c r="AI210" s="113" t="s">
        <v>5291</v>
      </c>
      <c r="AJ210" s="113">
        <v>-488602</v>
      </c>
      <c r="AK210" s="99">
        <v>5</v>
      </c>
      <c r="AL210" s="20">
        <f t="shared" si="55"/>
        <v>51</v>
      </c>
      <c r="AM210" s="117">
        <f t="shared" si="56"/>
        <v>-24918702</v>
      </c>
      <c r="AN210" s="20"/>
      <c r="AR210" t="s">
        <v>25</v>
      </c>
    </row>
    <row r="211" spans="7:46">
      <c r="G211" s="213" t="s">
        <v>5572</v>
      </c>
      <c r="H211" s="1">
        <v>30000000</v>
      </c>
      <c r="I211" t="s">
        <v>5611</v>
      </c>
      <c r="Q211" s="19" t="s">
        <v>4434</v>
      </c>
      <c r="R211" s="19" t="s">
        <v>5305</v>
      </c>
      <c r="S211" s="117">
        <v>700000</v>
      </c>
      <c r="T211" s="213" t="s">
        <v>4769</v>
      </c>
      <c r="U211" s="213">
        <v>-11795</v>
      </c>
      <c r="V211" s="113">
        <v>254.334</v>
      </c>
      <c r="W211" s="113">
        <f t="shared" si="48"/>
        <v>-2999869.5300000003</v>
      </c>
      <c r="X211" s="99" t="s">
        <v>4770</v>
      </c>
      <c r="AH211" s="99">
        <v>191</v>
      </c>
      <c r="AI211" s="113" t="s">
        <v>5305</v>
      </c>
      <c r="AJ211" s="113">
        <v>360000</v>
      </c>
      <c r="AK211" s="99">
        <v>10</v>
      </c>
      <c r="AL211" s="20">
        <f t="shared" si="55"/>
        <v>46</v>
      </c>
      <c r="AM211" s="117">
        <f t="shared" si="56"/>
        <v>16560000</v>
      </c>
      <c r="AN211" s="20"/>
      <c r="AR211" t="s">
        <v>25</v>
      </c>
    </row>
    <row r="212" spans="7:46">
      <c r="G212" s="213" t="s">
        <v>5573</v>
      </c>
      <c r="H212" s="1">
        <v>550000</v>
      </c>
      <c r="I212" t="s">
        <v>5612</v>
      </c>
      <c r="P212" s="114"/>
      <c r="Q212" s="189" t="s">
        <v>5315</v>
      </c>
      <c r="R212" s="189" t="s">
        <v>5314</v>
      </c>
      <c r="S212" s="188">
        <v>-2000000</v>
      </c>
      <c r="T212" s="213" t="s">
        <v>4769</v>
      </c>
      <c r="U212" s="213">
        <v>11795</v>
      </c>
      <c r="V212" s="113">
        <v>254.334</v>
      </c>
      <c r="W212" s="113">
        <f t="shared" si="48"/>
        <v>2999869.5300000003</v>
      </c>
      <c r="X212" s="99" t="s">
        <v>4771</v>
      </c>
      <c r="AH212" s="99">
        <v>192</v>
      </c>
      <c r="AI212" s="113" t="s">
        <v>5317</v>
      </c>
      <c r="AJ212" s="113">
        <v>-3600000</v>
      </c>
      <c r="AK212" s="99">
        <v>4</v>
      </c>
      <c r="AL212" s="20">
        <f t="shared" si="55"/>
        <v>36</v>
      </c>
      <c r="AM212" s="117">
        <f t="shared" si="56"/>
        <v>-129600000</v>
      </c>
      <c r="AN212" s="20"/>
      <c r="AS212" t="s">
        <v>25</v>
      </c>
    </row>
    <row r="213" spans="7:46">
      <c r="G213" s="213" t="s">
        <v>5574</v>
      </c>
      <c r="H213" s="1">
        <v>70370000</v>
      </c>
      <c r="I213" t="s">
        <v>4097</v>
      </c>
      <c r="P213" s="114"/>
      <c r="Q213" s="189" t="s">
        <v>5323</v>
      </c>
      <c r="R213" s="189" t="s">
        <v>5317</v>
      </c>
      <c r="S213" s="188">
        <v>2000000</v>
      </c>
      <c r="T213" s="213" t="s">
        <v>4783</v>
      </c>
      <c r="U213" s="213">
        <v>260</v>
      </c>
      <c r="V213" s="113">
        <v>263.19</v>
      </c>
      <c r="W213" s="113">
        <f t="shared" si="48"/>
        <v>68429.399999999994</v>
      </c>
      <c r="X213" s="99" t="s">
        <v>452</v>
      </c>
      <c r="AH213" s="99">
        <v>193</v>
      </c>
      <c r="AI213" s="113" t="s">
        <v>5326</v>
      </c>
      <c r="AJ213" s="113">
        <v>-1000000</v>
      </c>
      <c r="AK213" s="99">
        <v>5</v>
      </c>
      <c r="AL213" s="20">
        <f t="shared" si="55"/>
        <v>32</v>
      </c>
      <c r="AM213" s="117">
        <f t="shared" si="56"/>
        <v>-32000000</v>
      </c>
      <c r="AN213" s="20"/>
      <c r="AR213" t="s">
        <v>25</v>
      </c>
    </row>
    <row r="214" spans="7:46">
      <c r="G214" s="213" t="s">
        <v>5576</v>
      </c>
      <c r="H214" s="1">
        <v>1215000</v>
      </c>
      <c r="I214" t="s">
        <v>5613</v>
      </c>
      <c r="Q214" s="189" t="s">
        <v>1083</v>
      </c>
      <c r="R214" s="189" t="s">
        <v>5329</v>
      </c>
      <c r="S214" s="188">
        <v>40000000</v>
      </c>
      <c r="T214" s="213" t="s">
        <v>4792</v>
      </c>
      <c r="U214" s="213">
        <v>15257</v>
      </c>
      <c r="V214" s="113">
        <v>262.19018</v>
      </c>
      <c r="W214" s="113">
        <f t="shared" si="48"/>
        <v>4000235.57626</v>
      </c>
      <c r="X214" s="99" t="s">
        <v>452</v>
      </c>
      <c r="AH214" s="99">
        <v>194</v>
      </c>
      <c r="AI214" s="113" t="s">
        <v>5332</v>
      </c>
      <c r="AJ214" s="113">
        <v>360000</v>
      </c>
      <c r="AK214" s="99">
        <v>2</v>
      </c>
      <c r="AL214" s="20">
        <f>AL215+AK214</f>
        <v>27</v>
      </c>
      <c r="AM214" s="117">
        <f t="shared" ref="AM214:AM219" si="57">AJ214*AL214</f>
        <v>9720000</v>
      </c>
      <c r="AN214" s="20"/>
      <c r="AQ214" t="s">
        <v>25</v>
      </c>
    </row>
    <row r="215" spans="7:46">
      <c r="G215" s="213" t="s">
        <v>5577</v>
      </c>
      <c r="H215" s="1">
        <v>15350000</v>
      </c>
      <c r="I215" t="s">
        <v>5614</v>
      </c>
      <c r="P215" s="114"/>
      <c r="Q215" s="19" t="s">
        <v>4434</v>
      </c>
      <c r="R215" s="19" t="s">
        <v>5334</v>
      </c>
      <c r="S215" s="117">
        <v>-800000</v>
      </c>
      <c r="T215" s="213" t="s">
        <v>4792</v>
      </c>
      <c r="U215" s="213">
        <v>8444</v>
      </c>
      <c r="V215" s="113">
        <v>266.43029999999999</v>
      </c>
      <c r="W215" s="113">
        <f t="shared" si="48"/>
        <v>2249737.4531999999</v>
      </c>
      <c r="X215" s="99" t="s">
        <v>452</v>
      </c>
      <c r="AH215" s="99">
        <v>195</v>
      </c>
      <c r="AI215" s="113" t="s">
        <v>5337</v>
      </c>
      <c r="AJ215" s="113">
        <v>2000000</v>
      </c>
      <c r="AK215" s="99">
        <v>1</v>
      </c>
      <c r="AL215" s="20">
        <f>AL216+AK215</f>
        <v>25</v>
      </c>
      <c r="AM215" s="117">
        <f t="shared" si="57"/>
        <v>50000000</v>
      </c>
      <c r="AN215" s="20"/>
    </row>
    <row r="216" spans="7:46">
      <c r="G216" s="213" t="s">
        <v>5579</v>
      </c>
      <c r="H216" s="1">
        <v>70000</v>
      </c>
      <c r="I216" t="s">
        <v>5615</v>
      </c>
      <c r="Q216" s="213" t="s">
        <v>4434</v>
      </c>
      <c r="R216" s="213" t="s">
        <v>5425</v>
      </c>
      <c r="S216" s="117">
        <v>700000</v>
      </c>
      <c r="T216" s="213" t="s">
        <v>4797</v>
      </c>
      <c r="U216" s="213">
        <v>-6209</v>
      </c>
      <c r="V216" s="113">
        <v>273.79649999999998</v>
      </c>
      <c r="W216" s="113">
        <f t="shared" si="48"/>
        <v>-1700002.4685</v>
      </c>
      <c r="X216" s="99" t="s">
        <v>4808</v>
      </c>
      <c r="AH216" s="99">
        <v>196</v>
      </c>
      <c r="AI216" s="113" t="s">
        <v>5340</v>
      </c>
      <c r="AJ216" s="113">
        <v>20000000</v>
      </c>
      <c r="AK216" s="99">
        <v>0</v>
      </c>
      <c r="AL216" s="20">
        <f>AL217+AK216</f>
        <v>24</v>
      </c>
      <c r="AM216" s="117">
        <f t="shared" si="57"/>
        <v>480000000</v>
      </c>
      <c r="AN216" s="20" t="s">
        <v>4723</v>
      </c>
      <c r="AR216" t="s">
        <v>25</v>
      </c>
    </row>
    <row r="217" spans="7:46">
      <c r="G217" s="213" t="s">
        <v>5583</v>
      </c>
      <c r="H217" s="1">
        <v>800000</v>
      </c>
      <c r="I217" t="s">
        <v>5616</v>
      </c>
      <c r="P217" t="s">
        <v>25</v>
      </c>
      <c r="Q217" s="189" t="s">
        <v>5446</v>
      </c>
      <c r="R217" s="189" t="s">
        <v>5444</v>
      </c>
      <c r="S217" s="188">
        <v>-26000000</v>
      </c>
      <c r="T217" s="213" t="s">
        <v>4797</v>
      </c>
      <c r="U217" s="213">
        <v>-8014</v>
      </c>
      <c r="V217" s="113">
        <v>273.79649999999998</v>
      </c>
      <c r="W217" s="113">
        <f t="shared" si="48"/>
        <v>-2194205.1510000001</v>
      </c>
      <c r="X217" s="99" t="s">
        <v>749</v>
      </c>
      <c r="AH217" s="99">
        <v>197</v>
      </c>
      <c r="AI217" s="113" t="s">
        <v>5340</v>
      </c>
      <c r="AJ217" s="113">
        <v>-4700000</v>
      </c>
      <c r="AK217" s="99">
        <v>1</v>
      </c>
      <c r="AL217" s="20">
        <f>AL218+AK217</f>
        <v>24</v>
      </c>
      <c r="AM217" s="117">
        <f t="shared" si="57"/>
        <v>-112800000</v>
      </c>
      <c r="AN217" s="20"/>
    </row>
    <row r="218" spans="7:46">
      <c r="G218" s="213" t="s">
        <v>5605</v>
      </c>
      <c r="H218" s="1">
        <v>1948000</v>
      </c>
      <c r="Q218" s="189" t="s">
        <v>5446</v>
      </c>
      <c r="R218" s="189" t="s">
        <v>5450</v>
      </c>
      <c r="S218" s="188">
        <v>-95900000</v>
      </c>
      <c r="T218" s="213" t="s">
        <v>4806</v>
      </c>
      <c r="U218" s="213">
        <v>-9176</v>
      </c>
      <c r="V218" s="113">
        <v>273.79649999999998</v>
      </c>
      <c r="W218" s="113">
        <f t="shared" si="48"/>
        <v>-2512356.6839999999</v>
      </c>
      <c r="X218" s="99" t="s">
        <v>452</v>
      </c>
      <c r="AH218" s="99">
        <v>198</v>
      </c>
      <c r="AI218" s="113" t="s">
        <v>5344</v>
      </c>
      <c r="AJ218" s="113">
        <v>3000000</v>
      </c>
      <c r="AK218" s="99">
        <v>4</v>
      </c>
      <c r="AL218" s="20">
        <f>AL219+AK218</f>
        <v>23</v>
      </c>
      <c r="AM218" s="117">
        <f t="shared" si="57"/>
        <v>69000000</v>
      </c>
      <c r="AN218" s="20"/>
      <c r="AS218" t="s">
        <v>25</v>
      </c>
    </row>
    <row r="219" spans="7:46">
      <c r="G219" s="213" t="s">
        <v>5644</v>
      </c>
      <c r="H219" s="1">
        <v>5745697.3157000002</v>
      </c>
      <c r="P219" s="114"/>
      <c r="Q219" s="189" t="s">
        <v>5446</v>
      </c>
      <c r="R219" s="189" t="s">
        <v>5451</v>
      </c>
      <c r="S219" s="188">
        <v>-28950000</v>
      </c>
      <c r="T219" s="213" t="s">
        <v>4806</v>
      </c>
      <c r="U219" s="213">
        <v>1087</v>
      </c>
      <c r="V219" s="113">
        <v>273.79649999999998</v>
      </c>
      <c r="W219" s="113">
        <f t="shared" si="48"/>
        <v>297616.79550000001</v>
      </c>
      <c r="X219" s="99" t="s">
        <v>452</v>
      </c>
      <c r="AH219" s="99">
        <v>199</v>
      </c>
      <c r="AI219" s="113" t="s">
        <v>5347</v>
      </c>
      <c r="AJ219" s="113">
        <v>1500000</v>
      </c>
      <c r="AK219" s="99">
        <v>1</v>
      </c>
      <c r="AL219" s="20">
        <f>AL226+AK219</f>
        <v>19</v>
      </c>
      <c r="AM219" s="117">
        <f t="shared" si="57"/>
        <v>28500000</v>
      </c>
      <c r="AN219" s="20"/>
    </row>
    <row r="220" spans="7:46">
      <c r="G220" s="213" t="s">
        <v>5645</v>
      </c>
      <c r="H220" s="1">
        <v>908158.17935999995</v>
      </c>
      <c r="P220" s="114"/>
      <c r="Q220" s="172" t="s">
        <v>5462</v>
      </c>
      <c r="R220" s="172" t="s">
        <v>5460</v>
      </c>
      <c r="S220" s="170">
        <v>2000000</v>
      </c>
      <c r="T220" s="213" t="s">
        <v>978</v>
      </c>
      <c r="U220" s="213">
        <v>-4017</v>
      </c>
      <c r="V220" s="113">
        <v>273.79649999999998</v>
      </c>
      <c r="W220" s="113">
        <f t="shared" si="48"/>
        <v>-1099840.5404999999</v>
      </c>
      <c r="X220" s="99" t="s">
        <v>4434</v>
      </c>
      <c r="AH220" s="99">
        <v>200</v>
      </c>
      <c r="AI220" s="113" t="s">
        <v>5350</v>
      </c>
      <c r="AJ220" s="113">
        <v>30000000</v>
      </c>
      <c r="AK220" s="99">
        <v>33</v>
      </c>
      <c r="AL220" s="20">
        <f t="shared" ref="AL220:AL229" si="58">AL235+AK220</f>
        <v>33</v>
      </c>
      <c r="AM220" s="117">
        <f t="shared" ref="AM220:AM225" si="59">AJ220*AL220</f>
        <v>990000000</v>
      </c>
      <c r="AN220" s="20"/>
    </row>
    <row r="221" spans="7:46">
      <c r="G221" s="213" t="s">
        <v>5647</v>
      </c>
      <c r="H221" s="1">
        <v>12642697.648548001</v>
      </c>
      <c r="P221" s="114"/>
      <c r="Q221" s="213" t="s">
        <v>5468</v>
      </c>
      <c r="R221" s="213" t="s">
        <v>5466</v>
      </c>
      <c r="S221" s="113">
        <v>1896188</v>
      </c>
      <c r="T221" s="213" t="s">
        <v>978</v>
      </c>
      <c r="U221" s="213">
        <v>4017</v>
      </c>
      <c r="V221" s="113">
        <v>273.79649999999998</v>
      </c>
      <c r="W221" s="113">
        <f t="shared" si="48"/>
        <v>1099840.5404999999</v>
      </c>
      <c r="X221" s="99" t="s">
        <v>452</v>
      </c>
      <c r="AH221" s="99">
        <v>201</v>
      </c>
      <c r="AI221" s="113" t="s">
        <v>5429</v>
      </c>
      <c r="AJ221" s="113">
        <v>3000000</v>
      </c>
      <c r="AK221" s="99">
        <v>1</v>
      </c>
      <c r="AL221" s="20">
        <f t="shared" si="58"/>
        <v>1</v>
      </c>
      <c r="AM221" s="117">
        <f t="shared" si="59"/>
        <v>3000000</v>
      </c>
      <c r="AN221" s="20"/>
    </row>
    <row r="222" spans="7:46">
      <c r="G222" s="213" t="s">
        <v>5648</v>
      </c>
      <c r="H222" s="1">
        <v>12297318</v>
      </c>
      <c r="I222" t="s">
        <v>25</v>
      </c>
      <c r="P222" s="114"/>
      <c r="Q222" s="189" t="s">
        <v>5558</v>
      </c>
      <c r="R222" s="189" t="s">
        <v>5555</v>
      </c>
      <c r="S222" s="188">
        <v>0</v>
      </c>
      <c r="T222" s="213" t="s">
        <v>4813</v>
      </c>
      <c r="U222" s="213">
        <v>3137</v>
      </c>
      <c r="V222" s="113">
        <v>283.69110000000001</v>
      </c>
      <c r="W222" s="113">
        <f t="shared" si="48"/>
        <v>889938.98070000007</v>
      </c>
      <c r="X222" s="99" t="s">
        <v>452</v>
      </c>
      <c r="AH222" s="99">
        <v>202</v>
      </c>
      <c r="AI222" s="113" t="s">
        <v>5430</v>
      </c>
      <c r="AJ222" s="113">
        <v>7000000</v>
      </c>
      <c r="AK222" s="99">
        <v>4</v>
      </c>
      <c r="AL222" s="20">
        <f t="shared" si="58"/>
        <v>4</v>
      </c>
      <c r="AM222" s="117">
        <f t="shared" si="59"/>
        <v>28000000</v>
      </c>
      <c r="AN222" s="20"/>
    </row>
    <row r="223" spans="7:46">
      <c r="G223" s="213" t="s">
        <v>5649</v>
      </c>
      <c r="H223" s="1">
        <v>8959644</v>
      </c>
      <c r="P223" s="114"/>
      <c r="Q223" s="189" t="s">
        <v>5670</v>
      </c>
      <c r="R223" s="189" t="s">
        <v>5664</v>
      </c>
      <c r="S223" s="188">
        <v>-1265000</v>
      </c>
      <c r="T223" s="213" t="s">
        <v>4826</v>
      </c>
      <c r="U223" s="213">
        <v>101933</v>
      </c>
      <c r="V223" s="113">
        <v>294.30973999999998</v>
      </c>
      <c r="W223" s="113">
        <f t="shared" si="48"/>
        <v>29999874.727419998</v>
      </c>
      <c r="X223" s="99" t="s">
        <v>1083</v>
      </c>
      <c r="AH223" s="99">
        <v>203</v>
      </c>
      <c r="AI223" s="113" t="s">
        <v>5443</v>
      </c>
      <c r="AJ223" s="113">
        <v>8800000</v>
      </c>
      <c r="AK223" s="99">
        <v>2</v>
      </c>
      <c r="AL223" s="20">
        <f t="shared" si="58"/>
        <v>2</v>
      </c>
      <c r="AM223" s="117">
        <f t="shared" si="59"/>
        <v>17600000</v>
      </c>
      <c r="AN223" s="20"/>
    </row>
    <row r="224" spans="7:46">
      <c r="G224" s="213" t="s">
        <v>5650</v>
      </c>
      <c r="H224" s="113">
        <v>15154095.839328</v>
      </c>
      <c r="P224" s="114"/>
      <c r="Q224" s="189"/>
      <c r="R224" s="189"/>
      <c r="S224" s="188"/>
      <c r="T224" s="213" t="s">
        <v>4833</v>
      </c>
      <c r="U224" s="213">
        <v>3407</v>
      </c>
      <c r="V224" s="113">
        <v>293.43799999999999</v>
      </c>
      <c r="W224" s="113">
        <f t="shared" si="48"/>
        <v>999743.26599999995</v>
      </c>
      <c r="X224" s="99" t="s">
        <v>452</v>
      </c>
      <c r="Z224" t="s">
        <v>25</v>
      </c>
      <c r="AH224" s="99">
        <v>204</v>
      </c>
      <c r="AI224" s="113" t="s">
        <v>5450</v>
      </c>
      <c r="AJ224" s="113">
        <v>40000000</v>
      </c>
      <c r="AK224" s="99">
        <v>8</v>
      </c>
      <c r="AL224" s="20">
        <f t="shared" si="58"/>
        <v>8</v>
      </c>
      <c r="AM224" s="117">
        <f t="shared" si="59"/>
        <v>320000000</v>
      </c>
      <c r="AN224" s="20" t="s">
        <v>4723</v>
      </c>
    </row>
    <row r="225" spans="4:45">
      <c r="G225" s="213" t="s">
        <v>5656</v>
      </c>
      <c r="H225" s="113">
        <v>4108143</v>
      </c>
      <c r="P225" s="114"/>
      <c r="Q225" s="189"/>
      <c r="R225" s="189"/>
      <c r="S225" s="188"/>
      <c r="T225" s="213" t="s">
        <v>4834</v>
      </c>
      <c r="U225" s="213">
        <v>68796</v>
      </c>
      <c r="V225" s="113">
        <v>293.53250000000003</v>
      </c>
      <c r="W225" s="113">
        <f t="shared" si="48"/>
        <v>20193861.870000001</v>
      </c>
      <c r="X225" s="99" t="s">
        <v>749</v>
      </c>
      <c r="AH225" s="99">
        <v>205</v>
      </c>
      <c r="AI225" s="113" t="s">
        <v>5466</v>
      </c>
      <c r="AJ225" s="113">
        <v>400000</v>
      </c>
      <c r="AK225" s="99">
        <v>17</v>
      </c>
      <c r="AL225" s="20">
        <f t="shared" si="58"/>
        <v>17</v>
      </c>
      <c r="AM225" s="117">
        <f t="shared" si="59"/>
        <v>6800000</v>
      </c>
      <c r="AN225" s="20"/>
      <c r="AR225" t="s">
        <v>25</v>
      </c>
    </row>
    <row r="226" spans="4:45">
      <c r="G226" s="213" t="s">
        <v>5664</v>
      </c>
      <c r="H226" s="113">
        <v>6000000</v>
      </c>
      <c r="P226" s="114"/>
      <c r="Q226" s="213"/>
      <c r="R226" s="213"/>
      <c r="S226" s="113"/>
      <c r="T226" s="213" t="s">
        <v>4834</v>
      </c>
      <c r="U226" s="213">
        <v>154791</v>
      </c>
      <c r="V226" s="113">
        <v>293.53250000000003</v>
      </c>
      <c r="W226" s="113">
        <f t="shared" si="48"/>
        <v>45436189.207500003</v>
      </c>
      <c r="X226" s="99" t="s">
        <v>452</v>
      </c>
      <c r="Y226" t="s">
        <v>25</v>
      </c>
      <c r="AH226" s="99">
        <v>206</v>
      </c>
      <c r="AI226" s="113" t="s">
        <v>5489</v>
      </c>
      <c r="AJ226" s="113">
        <v>-20000000</v>
      </c>
      <c r="AK226" s="99">
        <v>18</v>
      </c>
      <c r="AL226" s="20">
        <f t="shared" si="58"/>
        <v>18</v>
      </c>
      <c r="AM226" s="117">
        <f t="shared" ref="AM226:AM229" si="60">AJ226*AL226</f>
        <v>-360000000</v>
      </c>
      <c r="AN226" s="20" t="s">
        <v>5034</v>
      </c>
    </row>
    <row r="227" spans="4:45">
      <c r="D227" s="96"/>
      <c r="E227" s="96"/>
      <c r="F227" s="96"/>
      <c r="G227" s="213" t="s">
        <v>5669</v>
      </c>
      <c r="H227" s="113">
        <v>8301786</v>
      </c>
      <c r="I227" t="s">
        <v>25</v>
      </c>
      <c r="P227" s="114"/>
      <c r="Q227" s="213"/>
      <c r="R227" s="213"/>
      <c r="S227" s="113">
        <f>SUM(S188:S223)</f>
        <v>-15270257</v>
      </c>
      <c r="T227" s="213" t="s">
        <v>4834</v>
      </c>
      <c r="U227" s="213">
        <v>-11923</v>
      </c>
      <c r="V227" s="113">
        <v>293.53250000000003</v>
      </c>
      <c r="W227" s="113">
        <f t="shared" si="48"/>
        <v>-3499787.9975000005</v>
      </c>
      <c r="X227" s="99" t="s">
        <v>452</v>
      </c>
      <c r="AH227" s="99">
        <v>207</v>
      </c>
      <c r="AI227" s="113" t="s">
        <v>5515</v>
      </c>
      <c r="AJ227" s="113">
        <v>3006000</v>
      </c>
      <c r="AK227" s="99">
        <v>19</v>
      </c>
      <c r="AL227" s="20">
        <f t="shared" si="58"/>
        <v>19</v>
      </c>
      <c r="AM227" s="117">
        <f t="shared" si="60"/>
        <v>57114000</v>
      </c>
      <c r="AN227" s="20"/>
    </row>
    <row r="228" spans="4:45">
      <c r="D228" s="96"/>
      <c r="E228" s="96"/>
      <c r="F228" s="96"/>
      <c r="G228" s="213" t="s">
        <v>5679</v>
      </c>
      <c r="H228" s="113">
        <v>50725508.571864001</v>
      </c>
      <c r="J228" t="s">
        <v>25</v>
      </c>
      <c r="Q228" s="41"/>
      <c r="R228" s="213"/>
      <c r="S228" s="213" t="s">
        <v>6</v>
      </c>
      <c r="T228" s="213" t="s">
        <v>4847</v>
      </c>
      <c r="U228" s="213">
        <v>8424</v>
      </c>
      <c r="V228" s="113">
        <v>299.15170000000001</v>
      </c>
      <c r="W228" s="113">
        <f t="shared" si="48"/>
        <v>2520053.9208</v>
      </c>
      <c r="X228" s="99" t="s">
        <v>452</v>
      </c>
      <c r="Y228" s="96"/>
      <c r="AH228" s="99">
        <v>208</v>
      </c>
      <c r="AI228" s="113" t="s">
        <v>5391</v>
      </c>
      <c r="AJ228" s="113">
        <v>-130382924</v>
      </c>
      <c r="AK228" s="99">
        <v>0</v>
      </c>
      <c r="AL228" s="20">
        <f t="shared" si="58"/>
        <v>0</v>
      </c>
      <c r="AM228" s="117">
        <f t="shared" si="60"/>
        <v>0</v>
      </c>
      <c r="AN228" s="20" t="s">
        <v>5550</v>
      </c>
      <c r="AR228" t="s">
        <v>25</v>
      </c>
    </row>
    <row r="229" spans="4:45">
      <c r="D229" s="96"/>
      <c r="E229" s="96"/>
      <c r="F229" s="96"/>
      <c r="G229" s="213" t="s">
        <v>5681</v>
      </c>
      <c r="H229" s="113">
        <v>2281961.458596</v>
      </c>
      <c r="K229" t="s">
        <v>25</v>
      </c>
      <c r="Q229" s="96"/>
      <c r="T229" s="213" t="s">
        <v>4882</v>
      </c>
      <c r="U229" s="213">
        <v>15943</v>
      </c>
      <c r="V229" s="113">
        <v>307.34415000000001</v>
      </c>
      <c r="W229" s="113">
        <f t="shared" si="48"/>
        <v>4899987.78345</v>
      </c>
      <c r="X229" s="99" t="s">
        <v>452</v>
      </c>
      <c r="Y229" t="s">
        <v>25</v>
      </c>
      <c r="AH229" s="99">
        <v>209</v>
      </c>
      <c r="AI229" s="113" t="s">
        <v>5391</v>
      </c>
      <c r="AJ229" s="113">
        <v>125000000</v>
      </c>
      <c r="AK229" s="99">
        <v>1</v>
      </c>
      <c r="AL229" s="20">
        <f t="shared" si="58"/>
        <v>1</v>
      </c>
      <c r="AM229" s="117">
        <f t="shared" si="60"/>
        <v>125000000</v>
      </c>
      <c r="AN229" s="20"/>
      <c r="AR229" t="s">
        <v>25</v>
      </c>
    </row>
    <row r="230" spans="4:45">
      <c r="D230" s="96"/>
      <c r="E230" s="96"/>
      <c r="F230" s="96"/>
      <c r="G230" s="213" t="s">
        <v>5691</v>
      </c>
      <c r="H230" s="113">
        <v>10998285</v>
      </c>
      <c r="P230" s="114" t="s">
        <v>25</v>
      </c>
      <c r="Q230" s="96" t="s">
        <v>25</v>
      </c>
      <c r="R230" s="96" t="s">
        <v>25</v>
      </c>
      <c r="T230" s="213" t="s">
        <v>4901</v>
      </c>
      <c r="U230" s="213">
        <v>3741</v>
      </c>
      <c r="V230" s="113">
        <v>307.34415000000001</v>
      </c>
      <c r="W230" s="113">
        <f t="shared" si="48"/>
        <v>1149774.4651500001</v>
      </c>
      <c r="X230" s="99" t="s">
        <v>452</v>
      </c>
      <c r="AH230" s="99">
        <v>210</v>
      </c>
      <c r="AI230" s="113" t="s">
        <v>5548</v>
      </c>
      <c r="AJ230" s="113">
        <v>7200000</v>
      </c>
      <c r="AK230" s="99">
        <v>15</v>
      </c>
      <c r="AL230" s="20">
        <f t="shared" ref="AL230:AL236" si="61">AL245+AK230</f>
        <v>15</v>
      </c>
      <c r="AM230" s="117">
        <f t="shared" ref="AM230:AM236" si="62">AJ230*AL230</f>
        <v>108000000</v>
      </c>
      <c r="AN230" s="20"/>
      <c r="AQ230" t="s">
        <v>25</v>
      </c>
      <c r="AS230" t="s">
        <v>25</v>
      </c>
    </row>
    <row r="231" spans="4:45">
      <c r="D231" s="96"/>
      <c r="E231" s="96"/>
      <c r="F231" s="96"/>
      <c r="G231" s="213"/>
      <c r="H231" s="113"/>
      <c r="J231" t="s">
        <v>25</v>
      </c>
      <c r="P231" s="114"/>
      <c r="Q231" s="96"/>
      <c r="R231" s="96" t="s">
        <v>25</v>
      </c>
      <c r="S231" t="s">
        <v>25</v>
      </c>
      <c r="T231" s="213" t="s">
        <v>4907</v>
      </c>
      <c r="U231" s="213">
        <v>-6207</v>
      </c>
      <c r="V231" s="113">
        <v>322.214</v>
      </c>
      <c r="W231" s="113">
        <f t="shared" si="48"/>
        <v>-1999982.298</v>
      </c>
      <c r="X231" s="99" t="s">
        <v>749</v>
      </c>
      <c r="AH231" s="99">
        <v>211</v>
      </c>
      <c r="AI231" s="113" t="s">
        <v>5579</v>
      </c>
      <c r="AJ231" s="113">
        <v>2050000</v>
      </c>
      <c r="AK231" s="99">
        <v>7</v>
      </c>
      <c r="AL231" s="20">
        <f t="shared" si="61"/>
        <v>7</v>
      </c>
      <c r="AM231" s="117">
        <f t="shared" si="62"/>
        <v>14350000</v>
      </c>
      <c r="AN231" s="20"/>
      <c r="AR231" t="s">
        <v>25</v>
      </c>
      <c r="AS231" t="s">
        <v>25</v>
      </c>
    </row>
    <row r="232" spans="4:45">
      <c r="D232" s="96"/>
      <c r="E232" s="96"/>
      <c r="F232" s="96"/>
      <c r="G232" s="213"/>
      <c r="H232" s="113"/>
      <c r="I232" s="96"/>
      <c r="J232" t="s">
        <v>25</v>
      </c>
      <c r="S232" t="s">
        <v>25</v>
      </c>
      <c r="T232" s="213" t="s">
        <v>4907</v>
      </c>
      <c r="U232" s="213">
        <v>6207</v>
      </c>
      <c r="V232" s="113">
        <v>322.214</v>
      </c>
      <c r="W232" s="113">
        <f t="shared" si="48"/>
        <v>1999982.298</v>
      </c>
      <c r="X232" s="99" t="s">
        <v>4434</v>
      </c>
      <c r="AH232" s="99">
        <v>212</v>
      </c>
      <c r="AI232" s="113" t="s">
        <v>5606</v>
      </c>
      <c r="AJ232" s="113">
        <v>50000000</v>
      </c>
      <c r="AK232" s="99">
        <v>24</v>
      </c>
      <c r="AL232" s="20">
        <f t="shared" si="61"/>
        <v>24</v>
      </c>
      <c r="AM232" s="117">
        <f t="shared" si="62"/>
        <v>1200000000</v>
      </c>
      <c r="AN232" s="20" t="s">
        <v>4723</v>
      </c>
    </row>
    <row r="233" spans="4:45">
      <c r="D233" s="96"/>
      <c r="E233" s="96"/>
      <c r="F233" s="96"/>
      <c r="G233" s="213"/>
      <c r="H233" s="113"/>
      <c r="I233" s="96"/>
      <c r="Q233" s="99" t="s">
        <v>749</v>
      </c>
      <c r="R233" s="99"/>
      <c r="T233" s="213" t="s">
        <v>4854</v>
      </c>
      <c r="U233" s="213">
        <v>776</v>
      </c>
      <c r="V233" s="113">
        <v>322.214</v>
      </c>
      <c r="W233" s="113">
        <f t="shared" si="48"/>
        <v>250038.06400000001</v>
      </c>
      <c r="X233" s="99" t="s">
        <v>452</v>
      </c>
      <c r="Y233" t="s">
        <v>25</v>
      </c>
      <c r="AH233" s="99">
        <v>213</v>
      </c>
      <c r="AI233" s="113" t="s">
        <v>5664</v>
      </c>
      <c r="AJ233" s="113">
        <v>-58196600</v>
      </c>
      <c r="AK233" s="99">
        <v>1</v>
      </c>
      <c r="AL233" s="20">
        <f t="shared" si="61"/>
        <v>1</v>
      </c>
      <c r="AM233" s="117">
        <f t="shared" si="62"/>
        <v>-58196600</v>
      </c>
      <c r="AN233" s="20" t="s">
        <v>4917</v>
      </c>
    </row>
    <row r="234" spans="4:45">
      <c r="G234" s="213"/>
      <c r="H234" s="113"/>
      <c r="I234" s="96"/>
      <c r="Q234" s="99" t="s">
        <v>4427</v>
      </c>
      <c r="R234" s="95">
        <v>172908000</v>
      </c>
      <c r="T234" s="213" t="s">
        <v>4933</v>
      </c>
      <c r="U234" s="213">
        <v>1524</v>
      </c>
      <c r="V234" s="113">
        <v>314.95999999999998</v>
      </c>
      <c r="W234" s="113">
        <f t="shared" si="48"/>
        <v>479999.04</v>
      </c>
      <c r="X234" s="99" t="s">
        <v>1083</v>
      </c>
      <c r="AH234" s="99"/>
      <c r="AI234" s="113"/>
      <c r="AJ234" s="113"/>
      <c r="AK234" s="99"/>
      <c r="AL234" s="20">
        <f t="shared" si="61"/>
        <v>0</v>
      </c>
      <c r="AM234" s="117">
        <f t="shared" si="62"/>
        <v>0</v>
      </c>
      <c r="AN234" s="20"/>
    </row>
    <row r="235" spans="4:45">
      <c r="G235" s="213"/>
      <c r="H235" s="113"/>
      <c r="I235" s="96"/>
      <c r="Q235" s="99" t="s">
        <v>4462</v>
      </c>
      <c r="R235" s="95">
        <v>1400000</v>
      </c>
      <c r="T235" s="213" t="s">
        <v>4942</v>
      </c>
      <c r="U235" s="213">
        <v>4435</v>
      </c>
      <c r="V235" s="113">
        <v>316.4375</v>
      </c>
      <c r="W235" s="113">
        <f t="shared" si="48"/>
        <v>1403400.3125</v>
      </c>
      <c r="X235" s="99" t="s">
        <v>452</v>
      </c>
      <c r="Z235" t="s">
        <v>25</v>
      </c>
      <c r="AA235" t="s">
        <v>25</v>
      </c>
      <c r="AH235" s="99"/>
      <c r="AI235" s="113"/>
      <c r="AJ235" s="113"/>
      <c r="AK235" s="99"/>
      <c r="AL235" s="20">
        <f t="shared" si="61"/>
        <v>0</v>
      </c>
      <c r="AM235" s="117">
        <f t="shared" si="62"/>
        <v>0</v>
      </c>
      <c r="AN235" s="20"/>
    </row>
    <row r="236" spans="4:45">
      <c r="G236" s="213"/>
      <c r="H236" s="113"/>
      <c r="J236" t="s">
        <v>25</v>
      </c>
      <c r="Q236" s="99" t="s">
        <v>4222</v>
      </c>
      <c r="R236" s="95">
        <v>247393</v>
      </c>
      <c r="S236" t="s">
        <v>25</v>
      </c>
      <c r="T236" s="213" t="s">
        <v>4945</v>
      </c>
      <c r="U236" s="213">
        <v>624</v>
      </c>
      <c r="V236" s="113">
        <v>320.5</v>
      </c>
      <c r="W236" s="113">
        <f t="shared" si="48"/>
        <v>199992</v>
      </c>
      <c r="X236" s="99" t="s">
        <v>452</v>
      </c>
      <c r="AH236" s="99"/>
      <c r="AI236" s="113"/>
      <c r="AJ236" s="113"/>
      <c r="AK236" s="99"/>
      <c r="AL236" s="20">
        <f t="shared" si="61"/>
        <v>0</v>
      </c>
      <c r="AM236" s="117">
        <f t="shared" si="62"/>
        <v>0</v>
      </c>
      <c r="AN236" s="20"/>
      <c r="AR236" t="s">
        <v>25</v>
      </c>
    </row>
    <row r="237" spans="4:45">
      <c r="G237" s="213"/>
      <c r="H237" s="113"/>
      <c r="J237" t="s">
        <v>25</v>
      </c>
      <c r="Q237" s="99" t="s">
        <v>4221</v>
      </c>
      <c r="R237" s="95">
        <v>6780000</v>
      </c>
      <c r="T237" s="213" t="s">
        <v>4950</v>
      </c>
      <c r="U237" s="213">
        <v>1086</v>
      </c>
      <c r="V237" s="113">
        <v>317.55</v>
      </c>
      <c r="W237" s="113">
        <f t="shared" si="48"/>
        <v>344859.3</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5653</v>
      </c>
      <c r="H238" s="113">
        <v>-87000000</v>
      </c>
      <c r="Q238" s="99" t="s">
        <v>4567</v>
      </c>
      <c r="R238" s="95">
        <v>-4000000</v>
      </c>
      <c r="T238" s="213" t="s">
        <v>4955</v>
      </c>
      <c r="U238" s="213">
        <v>2820</v>
      </c>
      <c r="V238" s="113">
        <v>319.1096</v>
      </c>
      <c r="W238" s="113">
        <f t="shared" si="48"/>
        <v>899889.07200000004</v>
      </c>
      <c r="X238" s="99" t="s">
        <v>452</v>
      </c>
      <c r="AH238" s="99"/>
      <c r="AI238" s="99"/>
      <c r="AJ238" s="99" t="s">
        <v>4055</v>
      </c>
      <c r="AK238" s="99"/>
      <c r="AL238" s="99"/>
      <c r="AM238" s="99" t="s">
        <v>284</v>
      </c>
      <c r="AN238" s="99" t="s">
        <v>940</v>
      </c>
      <c r="AR238" t="s">
        <v>25</v>
      </c>
    </row>
    <row r="239" spans="4:45">
      <c r="G239" s="213"/>
      <c r="H239" s="113"/>
      <c r="Q239" s="99" t="s">
        <v>4598</v>
      </c>
      <c r="R239" s="95">
        <v>16727037</v>
      </c>
      <c r="T239" s="213" t="s">
        <v>4958</v>
      </c>
      <c r="U239" s="213">
        <v>1145</v>
      </c>
      <c r="V239" s="113">
        <v>325.44</v>
      </c>
      <c r="W239" s="113">
        <f t="shared" si="48"/>
        <v>372628.8</v>
      </c>
      <c r="X239" s="99" t="s">
        <v>452</v>
      </c>
      <c r="AH239" s="99"/>
      <c r="AI239" s="99"/>
      <c r="AJ239" s="99"/>
      <c r="AK239" s="99"/>
      <c r="AL239" s="99"/>
      <c r="AM239" s="99"/>
      <c r="AN239" s="99"/>
      <c r="AR239" t="s">
        <v>25</v>
      </c>
    </row>
    <row r="240" spans="4:45">
      <c r="G240" s="213"/>
      <c r="H240" s="1"/>
      <c r="Q240" s="99" t="s">
        <v>4603</v>
      </c>
      <c r="R240" s="95">
        <v>46460683</v>
      </c>
      <c r="S240" t="s">
        <v>25</v>
      </c>
      <c r="T240" s="213" t="s">
        <v>4968</v>
      </c>
      <c r="U240" s="213">
        <v>20153</v>
      </c>
      <c r="V240" s="113">
        <v>322</v>
      </c>
      <c r="W240" s="113">
        <f t="shared" si="48"/>
        <v>6489266</v>
      </c>
      <c r="X240" s="99" t="s">
        <v>452</v>
      </c>
      <c r="AH240" s="99"/>
      <c r="AI240" s="99"/>
      <c r="AJ240" s="99"/>
      <c r="AK240" s="99"/>
      <c r="AL240" s="99"/>
      <c r="AM240" s="99" t="s">
        <v>4056</v>
      </c>
      <c r="AN240" s="99">
        <v>1.6667000000000001E-2</v>
      </c>
    </row>
    <row r="241" spans="7:43">
      <c r="G241" s="213"/>
      <c r="H241" s="1"/>
      <c r="Q241" s="99" t="s">
        <v>4604</v>
      </c>
      <c r="R241" s="95">
        <v>19663646</v>
      </c>
      <c r="T241" s="213" t="s">
        <v>4978</v>
      </c>
      <c r="U241" s="213">
        <v>93720</v>
      </c>
      <c r="V241" s="113">
        <v>325.435</v>
      </c>
      <c r="W241" s="113">
        <f t="shared" si="48"/>
        <v>30499768.199999999</v>
      </c>
      <c r="X241" s="99" t="s">
        <v>1083</v>
      </c>
      <c r="AH241" s="99"/>
      <c r="AI241" s="99"/>
      <c r="AJ241" s="99"/>
      <c r="AK241" s="99"/>
      <c r="AL241" s="99"/>
      <c r="AM241" s="99"/>
      <c r="AN241" s="99"/>
    </row>
    <row r="242" spans="7:43">
      <c r="G242" s="213"/>
      <c r="H242" s="1"/>
      <c r="Q242" s="99" t="s">
        <v>4627</v>
      </c>
      <c r="R242" s="95">
        <v>4374525</v>
      </c>
      <c r="T242" s="213" t="s">
        <v>4978</v>
      </c>
      <c r="U242" s="213">
        <v>20895</v>
      </c>
      <c r="V242" s="113">
        <v>325.435</v>
      </c>
      <c r="W242" s="113">
        <f t="shared" si="48"/>
        <v>6799964.3250000002</v>
      </c>
      <c r="X242" s="99" t="s">
        <v>749</v>
      </c>
      <c r="AH242" s="99"/>
      <c r="AI242" s="99" t="s">
        <v>4057</v>
      </c>
      <c r="AJ242" s="95">
        <f>AJ237+AN237</f>
        <v>702147746.43284476</v>
      </c>
      <c r="AK242" s="99"/>
      <c r="AL242" s="99"/>
      <c r="AM242" s="99"/>
      <c r="AN242" s="99"/>
    </row>
    <row r="243" spans="7:43">
      <c r="G243" s="213" t="s">
        <v>6</v>
      </c>
      <c r="H243" s="1">
        <f>SUM(H211:H242)</f>
        <v>171426295.01339599</v>
      </c>
      <c r="Q243" s="99" t="s">
        <v>4638</v>
      </c>
      <c r="R243" s="95">
        <v>6550580</v>
      </c>
      <c r="T243" s="213" t="s">
        <v>4987</v>
      </c>
      <c r="U243" s="213">
        <v>2611</v>
      </c>
      <c r="V243" s="113">
        <v>325.435</v>
      </c>
      <c r="W243" s="113">
        <f t="shared" si="48"/>
        <v>849710.78500000003</v>
      </c>
      <c r="X243" s="99" t="s">
        <v>749</v>
      </c>
      <c r="AI243" t="s">
        <v>4060</v>
      </c>
      <c r="AJ243" s="114">
        <f>SUM(N42:N54)</f>
        <v>6167028611.3999996</v>
      </c>
      <c r="AM243" t="s">
        <v>25</v>
      </c>
    </row>
    <row r="244" spans="7:43">
      <c r="G244" s="326"/>
      <c r="H244" s="1"/>
      <c r="Q244" s="99" t="s">
        <v>4640</v>
      </c>
      <c r="R244" s="95">
        <v>6650895</v>
      </c>
      <c r="T244" s="213" t="s">
        <v>4996</v>
      </c>
      <c r="U244" s="213">
        <v>6750</v>
      </c>
      <c r="V244" s="113">
        <v>339.3</v>
      </c>
      <c r="W244" s="113">
        <f t="shared" si="48"/>
        <v>2290275</v>
      </c>
      <c r="X244" s="99" t="s">
        <v>749</v>
      </c>
      <c r="AI244" t="s">
        <v>4132</v>
      </c>
      <c r="AJ244" s="114">
        <f>AJ243-AJ237</f>
        <v>5590688410.3999996</v>
      </c>
      <c r="AM244" t="s">
        <v>25</v>
      </c>
    </row>
    <row r="245" spans="7:43">
      <c r="Q245" s="99" t="s">
        <v>4657</v>
      </c>
      <c r="R245" s="95">
        <v>2145814</v>
      </c>
      <c r="T245" s="213" t="s">
        <v>5004</v>
      </c>
      <c r="U245" s="213">
        <v>1850</v>
      </c>
      <c r="V245" s="113">
        <v>334.10050000000001</v>
      </c>
      <c r="W245" s="113">
        <f t="shared" si="48"/>
        <v>618085.92500000005</v>
      </c>
      <c r="X245" s="99" t="s">
        <v>452</v>
      </c>
      <c r="AI245" t="s">
        <v>940</v>
      </c>
      <c r="AJ245" s="114">
        <f>AN237</f>
        <v>125807545.43284471</v>
      </c>
      <c r="AN245" t="s">
        <v>25</v>
      </c>
    </row>
    <row r="246" spans="7:43">
      <c r="Q246" s="99" t="s">
        <v>4668</v>
      </c>
      <c r="R246" s="95">
        <v>4369730</v>
      </c>
      <c r="T246" s="213" t="s">
        <v>5004</v>
      </c>
      <c r="U246" s="213">
        <v>-1194</v>
      </c>
      <c r="V246" s="113">
        <v>335</v>
      </c>
      <c r="W246" s="113">
        <f t="shared" si="48"/>
        <v>-399990</v>
      </c>
      <c r="X246" s="99" t="s">
        <v>4434</v>
      </c>
      <c r="AI246" t="s">
        <v>4061</v>
      </c>
      <c r="AJ246" s="114">
        <f>AJ243-AJ242</f>
        <v>5464880864.9671545</v>
      </c>
      <c r="AN246" t="s">
        <v>25</v>
      </c>
    </row>
    <row r="247" spans="7:43">
      <c r="G247" s="96"/>
      <c r="H247" s="96"/>
      <c r="Q247" s="99" t="s">
        <v>4670</v>
      </c>
      <c r="R247" s="95">
        <v>8739459</v>
      </c>
      <c r="S247" t="s">
        <v>25</v>
      </c>
      <c r="T247" s="213" t="s">
        <v>5004</v>
      </c>
      <c r="U247" s="213">
        <v>1194</v>
      </c>
      <c r="V247" s="113">
        <v>335</v>
      </c>
      <c r="W247" s="113">
        <f t="shared" si="48"/>
        <v>399990</v>
      </c>
      <c r="X247" s="99" t="s">
        <v>749</v>
      </c>
      <c r="AM247" t="s">
        <v>25</v>
      </c>
    </row>
    <row r="248" spans="7:43">
      <c r="G248" s="96"/>
      <c r="H248" s="96"/>
      <c r="P248" t="s">
        <v>25</v>
      </c>
      <c r="Q248" s="99" t="s">
        <v>4679</v>
      </c>
      <c r="R248" s="95">
        <v>6667654</v>
      </c>
      <c r="T248" s="213" t="s">
        <v>5011</v>
      </c>
      <c r="U248" s="213">
        <v>433</v>
      </c>
      <c r="V248" s="113">
        <v>345.68</v>
      </c>
      <c r="W248" s="113">
        <f t="shared" si="48"/>
        <v>149679.44</v>
      </c>
      <c r="X248" s="99" t="s">
        <v>749</v>
      </c>
      <c r="AJ248" t="s">
        <v>25</v>
      </c>
    </row>
    <row r="249" spans="7:43">
      <c r="G249" s="96"/>
      <c r="H249" s="96"/>
      <c r="Q249" s="99" t="s">
        <v>4687</v>
      </c>
      <c r="R249" s="95">
        <v>8981245</v>
      </c>
      <c r="T249" s="213" t="s">
        <v>5015</v>
      </c>
      <c r="U249" s="213">
        <v>55459</v>
      </c>
      <c r="V249" s="113">
        <v>362.51978000000003</v>
      </c>
      <c r="W249" s="113">
        <f t="shared" si="48"/>
        <v>20104984.479020003</v>
      </c>
      <c r="X249" s="99" t="s">
        <v>452</v>
      </c>
      <c r="AP249" t="s">
        <v>25</v>
      </c>
    </row>
    <row r="250" spans="7:43">
      <c r="G250" s="96"/>
      <c r="H250" s="96"/>
      <c r="Q250" s="99" t="s">
        <v>4691</v>
      </c>
      <c r="R250" s="95">
        <v>9181756</v>
      </c>
      <c r="T250" s="213" t="s">
        <v>5019</v>
      </c>
      <c r="U250" s="213">
        <v>-57212</v>
      </c>
      <c r="V250" s="113">
        <v>368.45400000000001</v>
      </c>
      <c r="W250" s="113">
        <f t="shared" si="48"/>
        <v>-21079990.248</v>
      </c>
      <c r="X250" s="99" t="s">
        <v>452</v>
      </c>
      <c r="Y250" t="s">
        <v>25</v>
      </c>
    </row>
    <row r="251" spans="7:43">
      <c r="Q251" s="99" t="s">
        <v>4694</v>
      </c>
      <c r="R251" s="95">
        <v>11811208</v>
      </c>
      <c r="S251" t="s">
        <v>25</v>
      </c>
      <c r="T251" s="213" t="s">
        <v>5020</v>
      </c>
      <c r="U251" s="213">
        <v>-15881</v>
      </c>
      <c r="V251" s="113">
        <v>374.61599999999999</v>
      </c>
      <c r="W251" s="113">
        <f t="shared" si="48"/>
        <v>-5949276.6959999995</v>
      </c>
      <c r="X251" s="99" t="s">
        <v>452</v>
      </c>
      <c r="Y251" t="s">
        <v>25</v>
      </c>
    </row>
    <row r="252" spans="7:43">
      <c r="Q252" s="99" t="s">
        <v>4708</v>
      </c>
      <c r="R252" s="95">
        <v>41248054</v>
      </c>
      <c r="S252" t="s">
        <v>25</v>
      </c>
      <c r="T252" s="213" t="s">
        <v>5026</v>
      </c>
      <c r="U252" s="213">
        <v>-41289</v>
      </c>
      <c r="V252" s="113">
        <v>372.27</v>
      </c>
      <c r="W252" s="113">
        <f t="shared" si="48"/>
        <v>-15370656.029999999</v>
      </c>
      <c r="X252" s="99" t="s">
        <v>452</v>
      </c>
    </row>
    <row r="253" spans="7:43">
      <c r="O253" t="s">
        <v>25</v>
      </c>
      <c r="Q253" s="99" t="s">
        <v>4715</v>
      </c>
      <c r="R253" s="95">
        <v>37328780</v>
      </c>
      <c r="T253" s="213" t="s">
        <v>5032</v>
      </c>
      <c r="U253" s="213">
        <v>13563</v>
      </c>
      <c r="V253" s="113">
        <v>365.69799999999998</v>
      </c>
      <c r="W253" s="113">
        <f t="shared" si="48"/>
        <v>4959961.9739999995</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5032</v>
      </c>
      <c r="U254" s="213">
        <v>27344</v>
      </c>
      <c r="V254" s="113">
        <v>365.69799999999998</v>
      </c>
      <c r="W254" s="113">
        <f t="shared" si="48"/>
        <v>9999646.1119999997</v>
      </c>
      <c r="X254" s="99" t="s">
        <v>452</v>
      </c>
      <c r="AH254" s="99">
        <v>1</v>
      </c>
      <c r="AI254" s="99" t="s">
        <v>3945</v>
      </c>
      <c r="AJ254" s="117">
        <v>3555820</v>
      </c>
      <c r="AK254" s="99">
        <v>2</v>
      </c>
      <c r="AL254" s="99">
        <f>AK254+AL255</f>
        <v>710</v>
      </c>
      <c r="AM254" s="99">
        <f>AJ254*AL254</f>
        <v>2524632200</v>
      </c>
      <c r="AN254" s="99" t="s">
        <v>4302</v>
      </c>
    </row>
    <row r="255" spans="7:43" ht="30">
      <c r="P255" t="s">
        <v>25</v>
      </c>
      <c r="Q255" s="99" t="s">
        <v>4834</v>
      </c>
      <c r="R255" s="95">
        <v>20193916</v>
      </c>
      <c r="T255" s="213" t="s">
        <v>5039</v>
      </c>
      <c r="U255" s="213">
        <v>-103145</v>
      </c>
      <c r="V255" s="113">
        <v>393.334</v>
      </c>
      <c r="W255" s="113">
        <f t="shared" si="48"/>
        <v>-40570435.43</v>
      </c>
      <c r="X255" s="36" t="s">
        <v>5044</v>
      </c>
      <c r="AH255" s="99">
        <v>2</v>
      </c>
      <c r="AI255" s="99" t="s">
        <v>4020</v>
      </c>
      <c r="AJ255" s="117">
        <v>1720837</v>
      </c>
      <c r="AK255" s="99">
        <v>51</v>
      </c>
      <c r="AL255" s="99">
        <f t="shared" ref="AL255:AL264" si="63">AK255+AL256</f>
        <v>708</v>
      </c>
      <c r="AM255" s="99">
        <f t="shared" ref="AM255:AM283" si="64">AJ255*AL255</f>
        <v>1218352596</v>
      </c>
      <c r="AN255" s="99" t="s">
        <v>4303</v>
      </c>
    </row>
    <row r="256" spans="7:43">
      <c r="Q256" s="99" t="s">
        <v>4907</v>
      </c>
      <c r="R256" s="95">
        <v>-2000000</v>
      </c>
      <c r="T256" s="213" t="s">
        <v>5039</v>
      </c>
      <c r="U256" s="213">
        <v>-369</v>
      </c>
      <c r="V256" s="113">
        <v>393.334</v>
      </c>
      <c r="W256" s="113">
        <f t="shared" si="48"/>
        <v>-145140.24600000001</v>
      </c>
      <c r="X256" s="36" t="s">
        <v>5120</v>
      </c>
      <c r="AH256" s="99">
        <v>3</v>
      </c>
      <c r="AI256" s="99" t="s">
        <v>4126</v>
      </c>
      <c r="AJ256" s="117">
        <v>150000</v>
      </c>
      <c r="AK256" s="99">
        <v>3</v>
      </c>
      <c r="AL256" s="99">
        <f t="shared" si="63"/>
        <v>657</v>
      </c>
      <c r="AM256" s="99">
        <f t="shared" si="64"/>
        <v>98550000</v>
      </c>
      <c r="AN256" s="99"/>
    </row>
    <row r="257" spans="17:45">
      <c r="Q257" s="99" t="s">
        <v>4978</v>
      </c>
      <c r="R257" s="95">
        <v>6800000</v>
      </c>
      <c r="S257" t="s">
        <v>25</v>
      </c>
      <c r="T257" s="213" t="s">
        <v>5039</v>
      </c>
      <c r="U257" s="213">
        <v>-889</v>
      </c>
      <c r="V257" s="113">
        <v>393.334</v>
      </c>
      <c r="W257" s="113">
        <f t="shared" si="48"/>
        <v>-349673.92599999998</v>
      </c>
      <c r="X257" s="36" t="s">
        <v>5121</v>
      </c>
      <c r="AH257" s="99">
        <v>4</v>
      </c>
      <c r="AI257" s="99" t="s">
        <v>4141</v>
      </c>
      <c r="AJ257" s="117">
        <v>-95000</v>
      </c>
      <c r="AK257" s="99">
        <v>8</v>
      </c>
      <c r="AL257" s="99">
        <f t="shared" si="63"/>
        <v>654</v>
      </c>
      <c r="AM257" s="99">
        <f t="shared" si="64"/>
        <v>-62130000</v>
      </c>
      <c r="AN257" s="99"/>
    </row>
    <row r="258" spans="17:45">
      <c r="Q258" s="99" t="s">
        <v>4987</v>
      </c>
      <c r="R258" s="95">
        <v>850000</v>
      </c>
      <c r="T258" s="213" t="s">
        <v>5048</v>
      </c>
      <c r="U258" s="213">
        <v>2546</v>
      </c>
      <c r="V258" s="113">
        <v>393</v>
      </c>
      <c r="W258" s="113">
        <f t="shared" si="48"/>
        <v>1000578</v>
      </c>
      <c r="X258" s="36" t="s">
        <v>452</v>
      </c>
      <c r="Z258" t="s">
        <v>25</v>
      </c>
      <c r="AH258" s="99">
        <v>5</v>
      </c>
      <c r="AI258" s="99" t="s">
        <v>4166</v>
      </c>
      <c r="AJ258" s="117">
        <v>3150000</v>
      </c>
      <c r="AK258" s="99">
        <v>16</v>
      </c>
      <c r="AL258" s="99">
        <f t="shared" si="63"/>
        <v>646</v>
      </c>
      <c r="AM258" s="99">
        <f t="shared" si="64"/>
        <v>2034900000</v>
      </c>
      <c r="AN258" s="99"/>
    </row>
    <row r="259" spans="17:45">
      <c r="Q259" s="99" t="s">
        <v>4996</v>
      </c>
      <c r="R259" s="95">
        <v>2290500</v>
      </c>
      <c r="T259" s="213" t="s">
        <v>5049</v>
      </c>
      <c r="U259" s="213">
        <v>1034</v>
      </c>
      <c r="V259" s="113">
        <v>386.608</v>
      </c>
      <c r="W259" s="113">
        <f t="shared" si="48"/>
        <v>399752.67200000002</v>
      </c>
      <c r="X259" s="36" t="s">
        <v>452</v>
      </c>
      <c r="AH259" s="99">
        <v>6</v>
      </c>
      <c r="AI259" s="99" t="s">
        <v>4231</v>
      </c>
      <c r="AJ259" s="117">
        <v>-65000</v>
      </c>
      <c r="AK259" s="99">
        <v>1</v>
      </c>
      <c r="AL259" s="99">
        <f t="shared" si="63"/>
        <v>630</v>
      </c>
      <c r="AM259" s="99">
        <f t="shared" si="64"/>
        <v>-40950000</v>
      </c>
      <c r="AN259" s="99"/>
    </row>
    <row r="260" spans="17:45">
      <c r="Q260" s="99" t="s">
        <v>5004</v>
      </c>
      <c r="R260" s="95">
        <v>400000</v>
      </c>
      <c r="S260" t="s">
        <v>25</v>
      </c>
      <c r="T260" s="213" t="s">
        <v>5056</v>
      </c>
      <c r="U260" s="213">
        <v>300</v>
      </c>
      <c r="V260" s="113">
        <v>400</v>
      </c>
      <c r="W260" s="113">
        <f t="shared" si="48"/>
        <v>120000</v>
      </c>
      <c r="X260" s="36" t="s">
        <v>452</v>
      </c>
      <c r="AH260" s="99">
        <v>7</v>
      </c>
      <c r="AI260" s="99" t="s">
        <v>4304</v>
      </c>
      <c r="AJ260" s="117">
        <v>-95000</v>
      </c>
      <c r="AK260" s="99">
        <v>6</v>
      </c>
      <c r="AL260" s="99">
        <f t="shared" si="63"/>
        <v>629</v>
      </c>
      <c r="AM260" s="99">
        <f t="shared" si="64"/>
        <v>-59755000</v>
      </c>
      <c r="AN260" s="99"/>
    </row>
    <row r="261" spans="17:45">
      <c r="Q261" s="99" t="s">
        <v>5011</v>
      </c>
      <c r="R261" s="95">
        <v>150000</v>
      </c>
      <c r="T261" s="213" t="s">
        <v>5067</v>
      </c>
      <c r="U261" s="213">
        <v>782</v>
      </c>
      <c r="V261" s="113">
        <v>409</v>
      </c>
      <c r="W261" s="113">
        <f t="shared" si="48"/>
        <v>319838</v>
      </c>
      <c r="X261" s="36" t="s">
        <v>749</v>
      </c>
      <c r="AH261" s="99">
        <v>8</v>
      </c>
      <c r="AI261" s="99" t="s">
        <v>4305</v>
      </c>
      <c r="AJ261" s="117">
        <v>232000</v>
      </c>
      <c r="AK261" s="99">
        <v>7</v>
      </c>
      <c r="AL261" s="99">
        <f t="shared" si="63"/>
        <v>623</v>
      </c>
      <c r="AM261" s="99">
        <f t="shared" si="64"/>
        <v>144536000</v>
      </c>
      <c r="AN261" s="99"/>
    </row>
    <row r="262" spans="17:45">
      <c r="Q262" s="99" t="s">
        <v>5039</v>
      </c>
      <c r="R262" s="95">
        <v>-144950</v>
      </c>
      <c r="T262" s="213" t="s">
        <v>5071</v>
      </c>
      <c r="U262" s="213">
        <v>1220</v>
      </c>
      <c r="V262" s="113">
        <v>409.9</v>
      </c>
      <c r="W262" s="113">
        <f t="shared" si="48"/>
        <v>500078</v>
      </c>
      <c r="X262" s="36" t="s">
        <v>749</v>
      </c>
      <c r="AH262" s="99">
        <v>9</v>
      </c>
      <c r="AI262" s="99" t="s">
        <v>4281</v>
      </c>
      <c r="AJ262" s="117">
        <v>13000000</v>
      </c>
      <c r="AK262" s="99">
        <v>2</v>
      </c>
      <c r="AL262" s="99">
        <f t="shared" si="63"/>
        <v>616</v>
      </c>
      <c r="AM262" s="99">
        <f t="shared" si="64"/>
        <v>8008000000</v>
      </c>
      <c r="AN262" s="99"/>
    </row>
    <row r="263" spans="17:45">
      <c r="Q263" s="99" t="s">
        <v>5067</v>
      </c>
      <c r="R263" s="95">
        <v>320000</v>
      </c>
      <c r="T263" s="213" t="s">
        <v>5073</v>
      </c>
      <c r="U263" s="213">
        <v>1285</v>
      </c>
      <c r="V263" s="113">
        <v>388.84</v>
      </c>
      <c r="W263" s="113">
        <f t="shared" si="48"/>
        <v>499659.39999999997</v>
      </c>
      <c r="X263" s="36" t="s">
        <v>452</v>
      </c>
      <c r="AH263" s="99">
        <v>10</v>
      </c>
      <c r="AI263" s="99" t="s">
        <v>4306</v>
      </c>
      <c r="AJ263" s="117">
        <v>10000000</v>
      </c>
      <c r="AK263" s="99">
        <v>3</v>
      </c>
      <c r="AL263" s="99">
        <f t="shared" si="63"/>
        <v>614</v>
      </c>
      <c r="AM263" s="99">
        <f t="shared" si="64"/>
        <v>6140000000</v>
      </c>
      <c r="AN263" s="99"/>
    </row>
    <row r="264" spans="17:45">
      <c r="Q264" s="99" t="s">
        <v>5071</v>
      </c>
      <c r="R264" s="95">
        <v>500000</v>
      </c>
      <c r="S264" t="s">
        <v>25</v>
      </c>
      <c r="T264" s="213" t="s">
        <v>5061</v>
      </c>
      <c r="U264" s="213">
        <v>1924</v>
      </c>
      <c r="V264" s="113">
        <v>386.69600000000003</v>
      </c>
      <c r="W264" s="113">
        <f t="shared" si="48"/>
        <v>744003.10400000005</v>
      </c>
      <c r="X264" s="36" t="s">
        <v>452</v>
      </c>
      <c r="AH264" s="99">
        <v>11</v>
      </c>
      <c r="AI264" s="99" t="s">
        <v>4294</v>
      </c>
      <c r="AJ264" s="117">
        <v>3400000</v>
      </c>
      <c r="AK264" s="99">
        <v>9</v>
      </c>
      <c r="AL264" s="99">
        <f t="shared" si="63"/>
        <v>611</v>
      </c>
      <c r="AM264" s="99">
        <f t="shared" si="64"/>
        <v>2077400000</v>
      </c>
      <c r="AN264" s="99"/>
    </row>
    <row r="265" spans="17:45">
      <c r="Q265" s="99" t="s">
        <v>5116</v>
      </c>
      <c r="R265" s="95">
        <v>400000</v>
      </c>
      <c r="S265" t="s">
        <v>25</v>
      </c>
      <c r="T265" s="213" t="s">
        <v>5089</v>
      </c>
      <c r="U265" s="213">
        <v>165</v>
      </c>
      <c r="V265" s="113">
        <v>393.5</v>
      </c>
      <c r="W265" s="113">
        <f t="shared" si="48"/>
        <v>64927.5</v>
      </c>
      <c r="X265" s="36" t="s">
        <v>452</v>
      </c>
      <c r="AH265" s="99">
        <v>12</v>
      </c>
      <c r="AI265" s="99" t="s">
        <v>4335</v>
      </c>
      <c r="AJ265" s="117">
        <v>-8736514</v>
      </c>
      <c r="AK265" s="99">
        <v>1</v>
      </c>
      <c r="AL265" s="99">
        <f>AK265+AL266</f>
        <v>602</v>
      </c>
      <c r="AM265" s="99">
        <f t="shared" si="64"/>
        <v>-5259381428</v>
      </c>
      <c r="AN265" s="99"/>
    </row>
    <row r="266" spans="17:45" ht="30">
      <c r="Q266" s="99" t="s">
        <v>5119</v>
      </c>
      <c r="R266" s="95">
        <v>50000</v>
      </c>
      <c r="S266" t="s">
        <v>25</v>
      </c>
      <c r="T266" s="213" t="s">
        <v>5095</v>
      </c>
      <c r="U266" s="213">
        <v>-34859</v>
      </c>
      <c r="V266" s="113">
        <v>403.1585</v>
      </c>
      <c r="W266" s="113">
        <f t="shared" si="48"/>
        <v>-14053702.1515</v>
      </c>
      <c r="X266" s="36" t="s">
        <v>5098</v>
      </c>
      <c r="AH266" s="99">
        <v>13</v>
      </c>
      <c r="AI266" s="99" t="s">
        <v>4336</v>
      </c>
      <c r="AJ266" s="117">
        <v>555000</v>
      </c>
      <c r="AK266" s="99">
        <v>5</v>
      </c>
      <c r="AL266" s="99">
        <f t="shared" ref="AL266:AL282" si="65">AK266+AL267</f>
        <v>601</v>
      </c>
      <c r="AM266" s="99">
        <f t="shared" si="64"/>
        <v>333555000</v>
      </c>
      <c r="AN266" s="99"/>
    </row>
    <row r="267" spans="17:45">
      <c r="Q267" s="99" t="s">
        <v>5129</v>
      </c>
      <c r="R267" s="95">
        <v>300000</v>
      </c>
      <c r="T267" s="213" t="s">
        <v>5062</v>
      </c>
      <c r="U267" s="213">
        <v>8476</v>
      </c>
      <c r="V267" s="113">
        <v>419.49900000000002</v>
      </c>
      <c r="W267" s="113">
        <f t="shared" si="48"/>
        <v>3555673.5240000002</v>
      </c>
      <c r="X267" s="36" t="s">
        <v>5104</v>
      </c>
      <c r="Y267" t="s">
        <v>25</v>
      </c>
      <c r="AH267" s="99">
        <v>14</v>
      </c>
      <c r="AI267" s="99" t="s">
        <v>4360</v>
      </c>
      <c r="AJ267" s="117">
        <v>-448308</v>
      </c>
      <c r="AK267" s="99">
        <v>6</v>
      </c>
      <c r="AL267" s="99">
        <f t="shared" si="65"/>
        <v>596</v>
      </c>
      <c r="AM267" s="99">
        <f t="shared" si="64"/>
        <v>-267191568</v>
      </c>
      <c r="AN267" s="99"/>
      <c r="AS267" t="s">
        <v>25</v>
      </c>
    </row>
    <row r="268" spans="17:45">
      <c r="Q268" s="99" t="s">
        <v>5155</v>
      </c>
      <c r="R268" s="95">
        <v>250000</v>
      </c>
      <c r="T268" s="213" t="s">
        <v>5116</v>
      </c>
      <c r="U268" s="213">
        <v>903</v>
      </c>
      <c r="V268" s="113">
        <v>442.77379999999999</v>
      </c>
      <c r="W268" s="113">
        <f t="shared" si="48"/>
        <v>399824.7414</v>
      </c>
      <c r="X268" s="36" t="s">
        <v>749</v>
      </c>
      <c r="AA268" t="s">
        <v>25</v>
      </c>
      <c r="AH268" s="99">
        <v>15</v>
      </c>
      <c r="AI268" s="99" t="s">
        <v>4390</v>
      </c>
      <c r="AJ268" s="117">
        <v>33225</v>
      </c>
      <c r="AK268" s="99">
        <v>0</v>
      </c>
      <c r="AL268" s="99">
        <f t="shared" si="65"/>
        <v>590</v>
      </c>
      <c r="AM268" s="99">
        <f t="shared" si="64"/>
        <v>19602750</v>
      </c>
      <c r="AN268" s="99"/>
    </row>
    <row r="269" spans="17:45">
      <c r="Q269" s="99" t="s">
        <v>5190</v>
      </c>
      <c r="R269" s="95">
        <v>200000</v>
      </c>
      <c r="T269" s="213" t="s">
        <v>5119</v>
      </c>
      <c r="U269" s="213">
        <v>113</v>
      </c>
      <c r="V269" s="113">
        <v>442.48200000000003</v>
      </c>
      <c r="W269" s="113">
        <f t="shared" ref="W269:W356" si="66">U269*V269</f>
        <v>50000.466</v>
      </c>
      <c r="X269" s="36" t="s">
        <v>749</v>
      </c>
      <c r="AH269" s="149">
        <v>16</v>
      </c>
      <c r="AI269" s="149" t="s">
        <v>4390</v>
      </c>
      <c r="AJ269" s="188">
        <v>4098523</v>
      </c>
      <c r="AK269" s="149">
        <v>2</v>
      </c>
      <c r="AL269" s="149">
        <f t="shared" si="65"/>
        <v>590</v>
      </c>
      <c r="AM269" s="149">
        <f t="shared" si="64"/>
        <v>2418128570</v>
      </c>
      <c r="AN269" s="149" t="s">
        <v>655</v>
      </c>
    </row>
    <row r="270" spans="17:45">
      <c r="Q270" s="99" t="s">
        <v>5225</v>
      </c>
      <c r="R270" s="95">
        <v>122000</v>
      </c>
      <c r="T270" s="213" t="s">
        <v>5129</v>
      </c>
      <c r="U270" s="213">
        <v>671</v>
      </c>
      <c r="V270" s="113">
        <v>447</v>
      </c>
      <c r="W270" s="113">
        <f t="shared" si="66"/>
        <v>299937</v>
      </c>
      <c r="X270" s="36" t="s">
        <v>749</v>
      </c>
      <c r="AH270" s="149">
        <v>17</v>
      </c>
      <c r="AI270" s="149" t="s">
        <v>4403</v>
      </c>
      <c r="AJ270" s="188">
        <v>-1000000</v>
      </c>
      <c r="AK270" s="149">
        <v>7</v>
      </c>
      <c r="AL270" s="149">
        <f t="shared" si="65"/>
        <v>588</v>
      </c>
      <c r="AM270" s="149">
        <f t="shared" si="64"/>
        <v>-588000000</v>
      </c>
      <c r="AN270" s="149" t="s">
        <v>655</v>
      </c>
    </row>
    <row r="271" spans="17:45">
      <c r="Q271" s="99" t="s">
        <v>5233</v>
      </c>
      <c r="R271" s="95">
        <v>200000</v>
      </c>
      <c r="S271" t="s">
        <v>25</v>
      </c>
      <c r="T271" s="213" t="s">
        <v>5131</v>
      </c>
      <c r="U271" s="213">
        <v>7</v>
      </c>
      <c r="V271" s="113">
        <v>465.31200000000001</v>
      </c>
      <c r="W271" s="113">
        <f t="shared" si="66"/>
        <v>3257.1840000000002</v>
      </c>
      <c r="X271" s="36" t="s">
        <v>452</v>
      </c>
      <c r="AH271" s="149">
        <v>18</v>
      </c>
      <c r="AI271" s="149" t="s">
        <v>4423</v>
      </c>
      <c r="AJ271" s="188">
        <v>750000</v>
      </c>
      <c r="AK271" s="149">
        <v>1</v>
      </c>
      <c r="AL271" s="149">
        <f t="shared" si="65"/>
        <v>581</v>
      </c>
      <c r="AM271" s="149">
        <f t="shared" si="64"/>
        <v>435750000</v>
      </c>
      <c r="AN271" s="149" t="s">
        <v>655</v>
      </c>
      <c r="AR271" t="s">
        <v>25</v>
      </c>
    </row>
    <row r="272" spans="17:45">
      <c r="Q272" s="99" t="s">
        <v>5243</v>
      </c>
      <c r="R272" s="95">
        <v>60000</v>
      </c>
      <c r="T272" s="213" t="s">
        <v>5137</v>
      </c>
      <c r="U272" s="213">
        <v>12950</v>
      </c>
      <c r="V272" s="113">
        <v>463.31599999999997</v>
      </c>
      <c r="W272" s="113">
        <f t="shared" si="66"/>
        <v>5999942.1999999993</v>
      </c>
      <c r="X272" s="36" t="s">
        <v>452</v>
      </c>
      <c r="AH272" s="195">
        <v>19</v>
      </c>
      <c r="AI272" s="195" t="s">
        <v>4425</v>
      </c>
      <c r="AJ272" s="196">
        <v>-604152</v>
      </c>
      <c r="AK272" s="195">
        <v>0</v>
      </c>
      <c r="AL272" s="195">
        <f t="shared" si="65"/>
        <v>580</v>
      </c>
      <c r="AM272" s="195">
        <f t="shared" si="64"/>
        <v>-350408160</v>
      </c>
      <c r="AN272" s="195" t="s">
        <v>655</v>
      </c>
    </row>
    <row r="273" spans="15:40">
      <c r="Q273" s="99" t="s">
        <v>5305</v>
      </c>
      <c r="R273" s="95">
        <v>-200000</v>
      </c>
      <c r="S273" t="s">
        <v>25</v>
      </c>
      <c r="T273" s="213" t="s">
        <v>5140</v>
      </c>
      <c r="U273" s="213">
        <v>37</v>
      </c>
      <c r="V273" s="113">
        <v>463.315</v>
      </c>
      <c r="W273" s="113">
        <f t="shared" si="66"/>
        <v>17142.654999999999</v>
      </c>
      <c r="X273" s="36" t="s">
        <v>452</v>
      </c>
      <c r="Y273" t="s">
        <v>25</v>
      </c>
      <c r="AH273" s="99">
        <v>20</v>
      </c>
      <c r="AI273" s="99" t="s">
        <v>4426</v>
      </c>
      <c r="AJ273" s="117">
        <v>-587083</v>
      </c>
      <c r="AK273" s="99">
        <v>4</v>
      </c>
      <c r="AL273" s="99">
        <f t="shared" si="65"/>
        <v>580</v>
      </c>
      <c r="AM273" s="99">
        <f t="shared" si="64"/>
        <v>-340508140</v>
      </c>
      <c r="AN273" s="99"/>
    </row>
    <row r="274" spans="15:40">
      <c r="Q274" s="99" t="s">
        <v>5380</v>
      </c>
      <c r="R274" s="95">
        <v>-9000000</v>
      </c>
      <c r="T274" s="213" t="s">
        <v>5141</v>
      </c>
      <c r="U274" s="213">
        <v>19</v>
      </c>
      <c r="V274" s="113">
        <v>434.3</v>
      </c>
      <c r="W274" s="113">
        <f t="shared" si="66"/>
        <v>8251.7000000000007</v>
      </c>
      <c r="X274" s="36" t="s">
        <v>452</v>
      </c>
      <c r="Y274" t="s">
        <v>25</v>
      </c>
      <c r="AH274" s="195">
        <v>21</v>
      </c>
      <c r="AI274" s="195" t="s">
        <v>4427</v>
      </c>
      <c r="AJ274" s="196">
        <v>-754351</v>
      </c>
      <c r="AK274" s="195">
        <v>0</v>
      </c>
      <c r="AL274" s="149">
        <f t="shared" si="65"/>
        <v>576</v>
      </c>
      <c r="AM274" s="195">
        <f t="shared" si="64"/>
        <v>-434506176</v>
      </c>
      <c r="AN274" s="195" t="s">
        <v>655</v>
      </c>
    </row>
    <row r="275" spans="15:40">
      <c r="Q275" s="99" t="s">
        <v>5444</v>
      </c>
      <c r="R275" s="95">
        <v>-26000000</v>
      </c>
      <c r="T275" s="213" t="s">
        <v>5143</v>
      </c>
      <c r="U275" s="213">
        <v>16</v>
      </c>
      <c r="V275" s="113">
        <v>439</v>
      </c>
      <c r="W275" s="113">
        <f t="shared" si="66"/>
        <v>7024</v>
      </c>
      <c r="X275" s="36" t="s">
        <v>452</v>
      </c>
      <c r="AH275" s="99">
        <v>22</v>
      </c>
      <c r="AI275" s="99" t="s">
        <v>4427</v>
      </c>
      <c r="AJ275" s="117">
        <v>-189619</v>
      </c>
      <c r="AK275" s="99">
        <v>15</v>
      </c>
      <c r="AL275" s="99">
        <f t="shared" si="65"/>
        <v>576</v>
      </c>
      <c r="AM275" s="99">
        <f t="shared" si="64"/>
        <v>-109220544</v>
      </c>
      <c r="AN275" s="99"/>
    </row>
    <row r="276" spans="15:40" ht="45">
      <c r="Q276" s="99" t="s">
        <v>5450</v>
      </c>
      <c r="R276" s="95">
        <v>-95900000</v>
      </c>
      <c r="T276" s="213" t="s">
        <v>5143</v>
      </c>
      <c r="U276" s="213">
        <v>9191</v>
      </c>
      <c r="V276" s="113">
        <v>440.24630000000002</v>
      </c>
      <c r="W276" s="113">
        <f t="shared" si="66"/>
        <v>4046303.7433000002</v>
      </c>
      <c r="X276" s="36" t="s">
        <v>5144</v>
      </c>
      <c r="AH276" s="195">
        <v>23</v>
      </c>
      <c r="AI276" s="195" t="s">
        <v>4493</v>
      </c>
      <c r="AJ276" s="188">
        <v>7100</v>
      </c>
      <c r="AK276" s="195">
        <v>0</v>
      </c>
      <c r="AL276" s="149">
        <f t="shared" si="65"/>
        <v>561</v>
      </c>
      <c r="AM276" s="195">
        <f t="shared" si="64"/>
        <v>3983100</v>
      </c>
      <c r="AN276" s="195" t="s">
        <v>655</v>
      </c>
    </row>
    <row r="277" spans="15:40">
      <c r="Q277" s="99" t="s">
        <v>5451</v>
      </c>
      <c r="R277" s="95">
        <v>-28950000</v>
      </c>
      <c r="S277" t="s">
        <v>25</v>
      </c>
      <c r="T277" s="213" t="s">
        <v>5146</v>
      </c>
      <c r="U277" s="213">
        <v>-8792</v>
      </c>
      <c r="V277" s="113">
        <v>441.90665999999999</v>
      </c>
      <c r="W277" s="113">
        <f t="shared" si="66"/>
        <v>-3885243.3547199997</v>
      </c>
      <c r="X277" s="36" t="s">
        <v>5147</v>
      </c>
      <c r="AH277" s="20">
        <v>24</v>
      </c>
      <c r="AI277" s="20" t="s">
        <v>4493</v>
      </c>
      <c r="AJ277" s="117">
        <v>-147902</v>
      </c>
      <c r="AK277" s="20">
        <v>3</v>
      </c>
      <c r="AL277" s="99">
        <f t="shared" si="65"/>
        <v>561</v>
      </c>
      <c r="AM277" s="20">
        <f t="shared" si="64"/>
        <v>-82973022</v>
      </c>
      <c r="AN277" s="20"/>
    </row>
    <row r="278" spans="15:40">
      <c r="Q278" s="99" t="s">
        <v>5664</v>
      </c>
      <c r="R278" s="95">
        <v>-93000000</v>
      </c>
      <c r="S278" t="s">
        <v>25</v>
      </c>
      <c r="T278" s="189" t="s">
        <v>5150</v>
      </c>
      <c r="U278" s="189">
        <v>24374</v>
      </c>
      <c r="V278" s="188">
        <v>471.81700000000001</v>
      </c>
      <c r="W278" s="188">
        <f t="shared" si="66"/>
        <v>11500067.558</v>
      </c>
      <c r="X278" s="279" t="s">
        <v>5153</v>
      </c>
      <c r="AH278" s="149">
        <v>25</v>
      </c>
      <c r="AI278" s="149" t="s">
        <v>4501</v>
      </c>
      <c r="AJ278" s="188">
        <v>-37200</v>
      </c>
      <c r="AK278" s="149">
        <v>4</v>
      </c>
      <c r="AL278" s="149">
        <f t="shared" si="65"/>
        <v>558</v>
      </c>
      <c r="AM278" s="195">
        <f t="shared" si="64"/>
        <v>-20757600</v>
      </c>
      <c r="AN278" s="149" t="s">
        <v>655</v>
      </c>
    </row>
    <row r="279" spans="15:40">
      <c r="Q279" s="99" t="s">
        <v>5681</v>
      </c>
      <c r="R279" s="95">
        <v>50000000</v>
      </c>
      <c r="T279" s="213" t="s">
        <v>5155</v>
      </c>
      <c r="U279" s="213">
        <v>530</v>
      </c>
      <c r="V279" s="113">
        <v>472</v>
      </c>
      <c r="W279" s="113">
        <f t="shared" si="66"/>
        <v>250160</v>
      </c>
      <c r="X279" s="36" t="s">
        <v>749</v>
      </c>
      <c r="AH279" s="99">
        <v>26</v>
      </c>
      <c r="AI279" s="99" t="s">
        <v>4532</v>
      </c>
      <c r="AJ279" s="117">
        <v>-372326</v>
      </c>
      <c r="AK279" s="99">
        <v>21</v>
      </c>
      <c r="AL279" s="99">
        <f t="shared" si="65"/>
        <v>554</v>
      </c>
      <c r="AM279" s="20">
        <f t="shared" si="64"/>
        <v>-206268604</v>
      </c>
      <c r="AN279" s="99"/>
    </row>
    <row r="280" spans="15:40" ht="30">
      <c r="Q280" s="99"/>
      <c r="R280" s="95"/>
      <c r="T280" s="213" t="s">
        <v>5155</v>
      </c>
      <c r="U280" s="213">
        <v>12</v>
      </c>
      <c r="V280" s="113">
        <v>481.86</v>
      </c>
      <c r="W280" s="113">
        <f t="shared" si="66"/>
        <v>5782.32</v>
      </c>
      <c r="X280" s="36" t="s">
        <v>5157</v>
      </c>
      <c r="AH280" s="99">
        <v>27</v>
      </c>
      <c r="AI280" s="99" t="s">
        <v>4581</v>
      </c>
      <c r="AJ280" s="117">
        <v>235062</v>
      </c>
      <c r="AK280" s="99">
        <v>0</v>
      </c>
      <c r="AL280" s="99">
        <f t="shared" si="65"/>
        <v>533</v>
      </c>
      <c r="AM280" s="20">
        <f t="shared" si="64"/>
        <v>125288046</v>
      </c>
      <c r="AN280" s="99"/>
    </row>
    <row r="281" spans="15:40">
      <c r="Q281" s="99"/>
      <c r="R281" s="95">
        <f>SUM(R234:R280)</f>
        <v>233933825</v>
      </c>
      <c r="T281" s="189" t="s">
        <v>5180</v>
      </c>
      <c r="U281" s="189">
        <v>12330</v>
      </c>
      <c r="V281" s="188">
        <v>486.63443869999998</v>
      </c>
      <c r="W281" s="188">
        <f t="shared" si="66"/>
        <v>6000202.6291709999</v>
      </c>
      <c r="X281" s="279" t="s">
        <v>5153</v>
      </c>
      <c r="AH281" s="149">
        <v>28</v>
      </c>
      <c r="AI281" s="149" t="s">
        <v>4581</v>
      </c>
      <c r="AJ281" s="188">
        <v>235062</v>
      </c>
      <c r="AK281" s="149">
        <v>9</v>
      </c>
      <c r="AL281" s="99">
        <f t="shared" si="65"/>
        <v>533</v>
      </c>
      <c r="AM281" s="149">
        <f t="shared" si="64"/>
        <v>125288046</v>
      </c>
      <c r="AN281" s="149" t="s">
        <v>655</v>
      </c>
    </row>
    <row r="282" spans="15:40">
      <c r="Q282" s="99"/>
      <c r="R282" s="99" t="s">
        <v>6</v>
      </c>
      <c r="T282" s="213" t="s">
        <v>5182</v>
      </c>
      <c r="U282" s="213">
        <v>846</v>
      </c>
      <c r="V282" s="113">
        <v>472.7</v>
      </c>
      <c r="W282" s="113">
        <f t="shared" si="66"/>
        <v>399904.2</v>
      </c>
      <c r="X282" s="36" t="s">
        <v>452</v>
      </c>
      <c r="AH282" s="149">
        <v>29</v>
      </c>
      <c r="AI282" s="149" t="s">
        <v>4604</v>
      </c>
      <c r="AJ282" s="188">
        <v>450000</v>
      </c>
      <c r="AK282" s="149">
        <v>0</v>
      </c>
      <c r="AL282" s="99">
        <f t="shared" si="65"/>
        <v>524</v>
      </c>
      <c r="AM282" s="149">
        <f t="shared" si="64"/>
        <v>235800000</v>
      </c>
      <c r="AN282" s="149" t="s">
        <v>655</v>
      </c>
    </row>
    <row r="283" spans="15:40">
      <c r="R283" t="s">
        <v>25</v>
      </c>
      <c r="S283" t="s">
        <v>25</v>
      </c>
      <c r="T283" s="189" t="s">
        <v>5182</v>
      </c>
      <c r="U283" s="189">
        <v>3173</v>
      </c>
      <c r="V283" s="188">
        <v>472.7</v>
      </c>
      <c r="W283" s="188">
        <f t="shared" si="66"/>
        <v>1499877.0999999999</v>
      </c>
      <c r="X283" s="279" t="s">
        <v>5316</v>
      </c>
      <c r="AH283" s="20">
        <v>30</v>
      </c>
      <c r="AI283" s="20" t="s">
        <v>4604</v>
      </c>
      <c r="AJ283" s="117">
        <v>450000</v>
      </c>
      <c r="AK283" s="20">
        <v>22</v>
      </c>
      <c r="AL283" s="99">
        <f>AK283+AL284</f>
        <v>524</v>
      </c>
      <c r="AM283" s="20">
        <f t="shared" si="64"/>
        <v>235800000</v>
      </c>
      <c r="AN283" s="20"/>
    </row>
    <row r="284" spans="15:40">
      <c r="T284" s="213" t="s">
        <v>5186</v>
      </c>
      <c r="U284" s="213">
        <v>191</v>
      </c>
      <c r="V284" s="113">
        <v>484.572</v>
      </c>
      <c r="W284" s="113">
        <f t="shared" si="66"/>
        <v>92553.252000000008</v>
      </c>
      <c r="X284" s="36" t="s">
        <v>5187</v>
      </c>
      <c r="AH284" s="149">
        <v>31</v>
      </c>
      <c r="AI284" s="149" t="s">
        <v>4670</v>
      </c>
      <c r="AJ284" s="188">
        <v>300000</v>
      </c>
      <c r="AK284" s="149">
        <v>0</v>
      </c>
      <c r="AL284" s="149">
        <f t="shared" ref="AL284:AL299" si="67">AK284+AL285</f>
        <v>502</v>
      </c>
      <c r="AM284" s="149">
        <f t="shared" ref="AM284:AM293" si="68">AJ284*AL284</f>
        <v>150600000</v>
      </c>
      <c r="AN284" s="149"/>
    </row>
    <row r="285" spans="15:40" ht="30">
      <c r="O285" t="s">
        <v>25</v>
      </c>
      <c r="Q285" s="99" t="s">
        <v>452</v>
      </c>
      <c r="R285" s="99"/>
      <c r="T285" s="213" t="s">
        <v>5186</v>
      </c>
      <c r="U285" s="213">
        <v>-206</v>
      </c>
      <c r="V285" s="113">
        <v>484.572</v>
      </c>
      <c r="W285" s="113">
        <f t="shared" si="66"/>
        <v>-99821.831999999995</v>
      </c>
      <c r="X285" s="36" t="s">
        <v>5189</v>
      </c>
      <c r="AH285" s="121">
        <v>32</v>
      </c>
      <c r="AI285" s="121" t="s">
        <v>4670</v>
      </c>
      <c r="AJ285" s="79">
        <v>288936</v>
      </c>
      <c r="AK285" s="121">
        <v>3</v>
      </c>
      <c r="AL285" s="121">
        <f t="shared" si="67"/>
        <v>502</v>
      </c>
      <c r="AM285" s="121">
        <f t="shared" si="68"/>
        <v>145045872</v>
      </c>
      <c r="AN285" s="205" t="s">
        <v>4681</v>
      </c>
    </row>
    <row r="286" spans="15:40">
      <c r="Q286" s="99" t="s">
        <v>4427</v>
      </c>
      <c r="R286" s="95">
        <v>63115000</v>
      </c>
      <c r="T286" s="213" t="s">
        <v>5190</v>
      </c>
      <c r="U286" s="213">
        <v>20685</v>
      </c>
      <c r="V286" s="113">
        <v>483.43312200000003</v>
      </c>
      <c r="W286" s="113">
        <f t="shared" si="66"/>
        <v>9999814.1285699997</v>
      </c>
      <c r="X286" s="36" t="s">
        <v>5192</v>
      </c>
      <c r="AH286" s="121">
        <v>33</v>
      </c>
      <c r="AI286" s="121" t="s">
        <v>4679</v>
      </c>
      <c r="AJ286" s="79">
        <v>17962491</v>
      </c>
      <c r="AK286" s="121">
        <v>1</v>
      </c>
      <c r="AL286" s="121">
        <f t="shared" si="67"/>
        <v>499</v>
      </c>
      <c r="AM286" s="121">
        <f t="shared" si="68"/>
        <v>8963283009</v>
      </c>
      <c r="AN286" s="121" t="s">
        <v>4686</v>
      </c>
    </row>
    <row r="287" spans="15:40">
      <c r="Q287" s="99" t="s">
        <v>4475</v>
      </c>
      <c r="R287" s="95">
        <v>13300000</v>
      </c>
      <c r="T287" s="213" t="s">
        <v>5190</v>
      </c>
      <c r="U287" s="213">
        <v>-413</v>
      </c>
      <c r="V287" s="113">
        <v>483.40199999999999</v>
      </c>
      <c r="W287" s="113">
        <f t="shared" si="66"/>
        <v>-199645.02599999998</v>
      </c>
      <c r="X287" s="36" t="s">
        <v>4434</v>
      </c>
      <c r="AH287" s="121">
        <v>34</v>
      </c>
      <c r="AI287" s="121" t="s">
        <v>3680</v>
      </c>
      <c r="AJ287" s="79">
        <v>18363511</v>
      </c>
      <c r="AK287" s="121">
        <v>1</v>
      </c>
      <c r="AL287" s="121">
        <f t="shared" si="67"/>
        <v>498</v>
      </c>
      <c r="AM287" s="121">
        <f t="shared" si="68"/>
        <v>9145028478</v>
      </c>
      <c r="AN287" s="121" t="s">
        <v>4686</v>
      </c>
    </row>
    <row r="288" spans="15:40">
      <c r="Q288" s="99" t="s">
        <v>4483</v>
      </c>
      <c r="R288" s="95">
        <v>2269000</v>
      </c>
      <c r="T288" s="213" t="s">
        <v>5190</v>
      </c>
      <c r="U288" s="213">
        <v>413</v>
      </c>
      <c r="V288" s="113">
        <v>483.40199999999999</v>
      </c>
      <c r="W288" s="113">
        <f t="shared" si="66"/>
        <v>199645.02599999998</v>
      </c>
      <c r="X288" s="36" t="s">
        <v>749</v>
      </c>
      <c r="AH288" s="121">
        <v>35</v>
      </c>
      <c r="AI288" s="121" t="s">
        <v>4691</v>
      </c>
      <c r="AJ288" s="79">
        <v>23622417</v>
      </c>
      <c r="AK288" s="121">
        <v>5</v>
      </c>
      <c r="AL288" s="121">
        <f t="shared" si="67"/>
        <v>497</v>
      </c>
      <c r="AM288" s="121">
        <f t="shared" si="68"/>
        <v>11740341249</v>
      </c>
      <c r="AN288" s="121" t="s">
        <v>4693</v>
      </c>
    </row>
    <row r="289" spans="15:44">
      <c r="Q289" s="99" t="s">
        <v>4594</v>
      </c>
      <c r="R289" s="95">
        <v>25071612</v>
      </c>
      <c r="T289" s="213" t="s">
        <v>5195</v>
      </c>
      <c r="U289" s="213">
        <v>-828</v>
      </c>
      <c r="V289" s="113">
        <v>483.43312200000003</v>
      </c>
      <c r="W289" s="113">
        <f t="shared" si="66"/>
        <v>-400282.62501600001</v>
      </c>
      <c r="X289" s="36" t="s">
        <v>452</v>
      </c>
      <c r="AH289" s="121">
        <v>36</v>
      </c>
      <c r="AI289" s="121" t="s">
        <v>4706</v>
      </c>
      <c r="AJ289" s="79">
        <v>82496108</v>
      </c>
      <c r="AK289" s="121">
        <v>1</v>
      </c>
      <c r="AL289" s="121">
        <f t="shared" si="67"/>
        <v>492</v>
      </c>
      <c r="AM289" s="121">
        <f t="shared" si="68"/>
        <v>40588085136</v>
      </c>
      <c r="AN289" s="121" t="s">
        <v>4709</v>
      </c>
    </row>
    <row r="290" spans="15:44">
      <c r="Q290" s="99" t="s">
        <v>4603</v>
      </c>
      <c r="R290" s="95">
        <v>42236984</v>
      </c>
      <c r="T290" s="213" t="s">
        <v>5198</v>
      </c>
      <c r="U290" s="213">
        <v>12</v>
      </c>
      <c r="V290" s="113">
        <v>473.61898300000001</v>
      </c>
      <c r="W290" s="113">
        <f t="shared" si="66"/>
        <v>5683.4277959999999</v>
      </c>
      <c r="X290" s="36" t="s">
        <v>452</v>
      </c>
      <c r="AH290" s="121">
        <v>37</v>
      </c>
      <c r="AI290" s="121" t="s">
        <v>4708</v>
      </c>
      <c r="AJ290" s="79">
        <v>74657561</v>
      </c>
      <c r="AK290" s="121">
        <v>16</v>
      </c>
      <c r="AL290" s="121">
        <f t="shared" si="67"/>
        <v>491</v>
      </c>
      <c r="AM290" s="121">
        <f t="shared" si="68"/>
        <v>36656862451</v>
      </c>
      <c r="AN290" s="121" t="s">
        <v>4714</v>
      </c>
    </row>
    <row r="291" spans="15:44">
      <c r="Q291" s="99" t="s">
        <v>4604</v>
      </c>
      <c r="R291" s="95">
        <v>19663646</v>
      </c>
      <c r="T291" s="213" t="s">
        <v>5201</v>
      </c>
      <c r="U291" s="213">
        <v>963</v>
      </c>
      <c r="V291" s="113">
        <v>477.92200000000003</v>
      </c>
      <c r="W291" s="113">
        <f t="shared" si="66"/>
        <v>460238.886</v>
      </c>
      <c r="X291" s="36" t="s">
        <v>452</v>
      </c>
      <c r="AH291" s="99">
        <v>38</v>
      </c>
      <c r="AI291" s="99" t="s">
        <v>4783</v>
      </c>
      <c r="AJ291" s="117">
        <v>665000</v>
      </c>
      <c r="AK291" s="99">
        <v>0</v>
      </c>
      <c r="AL291" s="99">
        <f t="shared" si="67"/>
        <v>475</v>
      </c>
      <c r="AM291" s="20">
        <f t="shared" si="68"/>
        <v>315875000</v>
      </c>
      <c r="AN291" s="99"/>
    </row>
    <row r="292" spans="15:44">
      <c r="Q292" s="99" t="s">
        <v>4627</v>
      </c>
      <c r="R292" s="95">
        <v>4374525</v>
      </c>
      <c r="T292" s="213" t="s">
        <v>5202</v>
      </c>
      <c r="U292" s="213">
        <v>2815</v>
      </c>
      <c r="V292" s="113">
        <v>461.79</v>
      </c>
      <c r="W292" s="113">
        <f t="shared" si="66"/>
        <v>1299938.8500000001</v>
      </c>
      <c r="X292" s="36" t="s">
        <v>452</v>
      </c>
      <c r="AH292" s="149">
        <v>39</v>
      </c>
      <c r="AI292" s="149" t="s">
        <v>4783</v>
      </c>
      <c r="AJ292" s="188">
        <v>665000</v>
      </c>
      <c r="AK292" s="149">
        <v>4</v>
      </c>
      <c r="AL292" s="195">
        <f t="shared" si="67"/>
        <v>475</v>
      </c>
      <c r="AM292" s="195">
        <f t="shared" si="68"/>
        <v>315875000</v>
      </c>
      <c r="AN292" s="195"/>
    </row>
    <row r="293" spans="15:44">
      <c r="O293" t="s">
        <v>25</v>
      </c>
      <c r="Q293" s="99" t="s">
        <v>4638</v>
      </c>
      <c r="R293" s="95">
        <v>6550580</v>
      </c>
      <c r="T293" s="213" t="s">
        <v>5202</v>
      </c>
      <c r="U293" s="213">
        <v>1581</v>
      </c>
      <c r="V293" s="113">
        <v>461.79</v>
      </c>
      <c r="W293" s="113">
        <f t="shared" si="66"/>
        <v>730089.99</v>
      </c>
      <c r="X293" s="36" t="s">
        <v>452</v>
      </c>
      <c r="AH293" s="20">
        <v>40</v>
      </c>
      <c r="AI293" s="20" t="s">
        <v>4792</v>
      </c>
      <c r="AJ293" s="117">
        <v>2000000</v>
      </c>
      <c r="AK293" s="20">
        <v>1</v>
      </c>
      <c r="AL293" s="99">
        <f t="shared" si="67"/>
        <v>471</v>
      </c>
      <c r="AM293" s="20">
        <f t="shared" si="68"/>
        <v>942000000</v>
      </c>
      <c r="AN293" s="99"/>
    </row>
    <row r="294" spans="15:44">
      <c r="Q294" s="99" t="s">
        <v>4640</v>
      </c>
      <c r="R294" s="95">
        <v>7054895</v>
      </c>
      <c r="T294" s="189" t="s">
        <v>5210</v>
      </c>
      <c r="U294" s="189">
        <v>1916</v>
      </c>
      <c r="V294" s="188">
        <v>521.70000000000005</v>
      </c>
      <c r="W294" s="188">
        <f t="shared" si="66"/>
        <v>999577.20000000007</v>
      </c>
      <c r="X294" s="279" t="s">
        <v>5316</v>
      </c>
      <c r="AH294" s="20">
        <v>41</v>
      </c>
      <c r="AI294" s="20" t="s">
        <v>4797</v>
      </c>
      <c r="AJ294" s="117">
        <v>-2060725</v>
      </c>
      <c r="AK294" s="20">
        <v>0</v>
      </c>
      <c r="AL294" s="99">
        <f t="shared" si="67"/>
        <v>470</v>
      </c>
      <c r="AM294" s="20">
        <f t="shared" ref="AM294:AM299" si="69">AJ294*AL294</f>
        <v>-968540750</v>
      </c>
      <c r="AN294" s="99" t="s">
        <v>4798</v>
      </c>
    </row>
    <row r="295" spans="15:44">
      <c r="Q295" s="99" t="s">
        <v>4657</v>
      </c>
      <c r="R295" s="95">
        <v>2145814</v>
      </c>
      <c r="T295" s="213" t="s">
        <v>989</v>
      </c>
      <c r="U295" s="213">
        <v>41</v>
      </c>
      <c r="V295" s="113">
        <v>514.48099999999999</v>
      </c>
      <c r="W295" s="113">
        <f t="shared" si="66"/>
        <v>21093.721000000001</v>
      </c>
      <c r="X295" s="36" t="s">
        <v>5187</v>
      </c>
      <c r="AH295" s="149">
        <v>42</v>
      </c>
      <c r="AI295" s="149" t="s">
        <v>4797</v>
      </c>
      <c r="AJ295" s="188">
        <v>-433375</v>
      </c>
      <c r="AK295" s="149">
        <v>0</v>
      </c>
      <c r="AL295" s="149">
        <f t="shared" si="67"/>
        <v>470</v>
      </c>
      <c r="AM295" s="149">
        <f t="shared" si="69"/>
        <v>-203686250</v>
      </c>
      <c r="AN295" s="149" t="s">
        <v>4799</v>
      </c>
    </row>
    <row r="296" spans="15:44">
      <c r="Q296" s="99" t="s">
        <v>4668</v>
      </c>
      <c r="R296" s="95">
        <v>4369730</v>
      </c>
      <c r="T296" s="213" t="s">
        <v>4270</v>
      </c>
      <c r="U296" s="213">
        <v>71</v>
      </c>
      <c r="V296" s="113">
        <v>482.57</v>
      </c>
      <c r="W296" s="113">
        <f t="shared" si="66"/>
        <v>34262.47</v>
      </c>
      <c r="X296" s="36" t="s">
        <v>5187</v>
      </c>
      <c r="AH296" s="20">
        <v>43</v>
      </c>
      <c r="AI296" s="20" t="s">
        <v>4797</v>
      </c>
      <c r="AJ296" s="117">
        <v>28000000</v>
      </c>
      <c r="AK296" s="20">
        <v>1</v>
      </c>
      <c r="AL296" s="99">
        <f t="shared" si="67"/>
        <v>470</v>
      </c>
      <c r="AM296" s="20">
        <f t="shared" si="69"/>
        <v>13160000000</v>
      </c>
      <c r="AN296" s="99" t="s">
        <v>3887</v>
      </c>
    </row>
    <row r="297" spans="15:44">
      <c r="Q297" s="99" t="s">
        <v>4670</v>
      </c>
      <c r="R297" s="95">
        <v>8739459</v>
      </c>
      <c r="T297" s="213" t="s">
        <v>5225</v>
      </c>
      <c r="U297" s="213">
        <v>-250</v>
      </c>
      <c r="V297" s="113">
        <v>487.125</v>
      </c>
      <c r="W297" s="113">
        <f t="shared" si="66"/>
        <v>-121781.25</v>
      </c>
      <c r="X297" s="36" t="s">
        <v>4434</v>
      </c>
      <c r="AH297" s="20">
        <v>44</v>
      </c>
      <c r="AI297" s="20" t="s">
        <v>4806</v>
      </c>
      <c r="AJ297" s="117">
        <v>160000</v>
      </c>
      <c r="AK297" s="20">
        <v>0</v>
      </c>
      <c r="AL297" s="99">
        <f t="shared" si="67"/>
        <v>469</v>
      </c>
      <c r="AM297" s="20">
        <f t="shared" si="69"/>
        <v>75040000</v>
      </c>
      <c r="AN297" s="99"/>
    </row>
    <row r="298" spans="15:44">
      <c r="Q298" s="99" t="s">
        <v>4679</v>
      </c>
      <c r="R298" s="95">
        <v>6667654</v>
      </c>
      <c r="T298" s="213" t="s">
        <v>5225</v>
      </c>
      <c r="U298" s="213">
        <v>250</v>
      </c>
      <c r="V298" s="113">
        <v>487.125</v>
      </c>
      <c r="W298" s="113">
        <f t="shared" si="66"/>
        <v>121781.25</v>
      </c>
      <c r="X298" s="36" t="s">
        <v>749</v>
      </c>
      <c r="AH298" s="149">
        <v>45</v>
      </c>
      <c r="AI298" s="149" t="s">
        <v>4806</v>
      </c>
      <c r="AJ298" s="188">
        <v>70000</v>
      </c>
      <c r="AK298" s="149">
        <v>9</v>
      </c>
      <c r="AL298" s="149">
        <f t="shared" si="67"/>
        <v>469</v>
      </c>
      <c r="AM298" s="149">
        <f t="shared" si="69"/>
        <v>32830000</v>
      </c>
      <c r="AN298" s="149"/>
    </row>
    <row r="299" spans="15:44">
      <c r="Q299" s="99" t="s">
        <v>3680</v>
      </c>
      <c r="R299" s="95">
        <v>8981245</v>
      </c>
      <c r="T299" s="213" t="s">
        <v>5233</v>
      </c>
      <c r="U299" s="213">
        <v>-1439</v>
      </c>
      <c r="V299" s="113">
        <v>486.53068999999999</v>
      </c>
      <c r="W299" s="113">
        <f t="shared" si="66"/>
        <v>-700117.66290999996</v>
      </c>
      <c r="X299" s="36" t="s">
        <v>4434</v>
      </c>
      <c r="AH299" s="20">
        <v>46</v>
      </c>
      <c r="AI299" s="20" t="s">
        <v>4813</v>
      </c>
      <c r="AJ299" s="117">
        <v>850000</v>
      </c>
      <c r="AK299" s="20">
        <v>0</v>
      </c>
      <c r="AL299" s="99">
        <f t="shared" si="67"/>
        <v>460</v>
      </c>
      <c r="AM299" s="20">
        <f t="shared" si="69"/>
        <v>391000000</v>
      </c>
      <c r="AN299" s="99"/>
    </row>
    <row r="300" spans="15:44">
      <c r="Q300" s="99" t="s">
        <v>4691</v>
      </c>
      <c r="R300" s="95">
        <v>9181756</v>
      </c>
      <c r="T300" s="213" t="s">
        <v>5233</v>
      </c>
      <c r="U300" s="213">
        <v>411</v>
      </c>
      <c r="V300" s="113">
        <v>486.53068999999999</v>
      </c>
      <c r="W300" s="113">
        <f t="shared" si="66"/>
        <v>199964.11358999999</v>
      </c>
      <c r="X300" s="36" t="s">
        <v>749</v>
      </c>
      <c r="AH300" s="195">
        <v>47</v>
      </c>
      <c r="AI300" s="195" t="s">
        <v>4813</v>
      </c>
      <c r="AJ300" s="196">
        <v>20000</v>
      </c>
      <c r="AK300" s="195">
        <v>4</v>
      </c>
      <c r="AL300" s="195">
        <f t="shared" ref="AL300:AL308" si="70">AK300+AL301</f>
        <v>460</v>
      </c>
      <c r="AM300" s="195">
        <f t="shared" ref="AM300:AM308" si="71">AJ300*AL300</f>
        <v>9200000</v>
      </c>
      <c r="AN300" s="195"/>
      <c r="AR300" t="s">
        <v>25</v>
      </c>
    </row>
    <row r="301" spans="15:44">
      <c r="P301" t="s">
        <v>25</v>
      </c>
      <c r="Q301" s="99" t="s">
        <v>4694</v>
      </c>
      <c r="R301" s="95">
        <v>11811208</v>
      </c>
      <c r="T301" s="213" t="s">
        <v>5200</v>
      </c>
      <c r="U301" s="213">
        <v>-4290</v>
      </c>
      <c r="V301" s="113">
        <v>497.57670000000002</v>
      </c>
      <c r="W301" s="113">
        <f t="shared" si="66"/>
        <v>-2134604.0430000001</v>
      </c>
      <c r="X301" s="36" t="s">
        <v>452</v>
      </c>
      <c r="AH301" s="195">
        <v>48</v>
      </c>
      <c r="AI301" s="195" t="s">
        <v>4826</v>
      </c>
      <c r="AJ301" s="196">
        <v>30000000</v>
      </c>
      <c r="AK301" s="195">
        <v>27</v>
      </c>
      <c r="AL301" s="195">
        <f t="shared" si="70"/>
        <v>456</v>
      </c>
      <c r="AM301" s="195">
        <f t="shared" si="71"/>
        <v>13680000000</v>
      </c>
      <c r="AN301" s="195" t="s">
        <v>4827</v>
      </c>
    </row>
    <row r="302" spans="15:44">
      <c r="Q302" s="99" t="s">
        <v>4708</v>
      </c>
      <c r="R302" s="95">
        <v>41248054</v>
      </c>
      <c r="T302" s="213" t="s">
        <v>5240</v>
      </c>
      <c r="U302" s="213">
        <v>-644</v>
      </c>
      <c r="V302" s="113">
        <v>494.76464499999997</v>
      </c>
      <c r="W302" s="113">
        <f t="shared" si="66"/>
        <v>-318628.43137999997</v>
      </c>
      <c r="X302" s="36" t="s">
        <v>452</v>
      </c>
      <c r="Y302" t="s">
        <v>25</v>
      </c>
      <c r="AH302" s="20">
        <v>49</v>
      </c>
      <c r="AI302" s="20" t="s">
        <v>4901</v>
      </c>
      <c r="AJ302" s="117">
        <v>1100000</v>
      </c>
      <c r="AK302" s="20">
        <v>1</v>
      </c>
      <c r="AL302" s="20">
        <f t="shared" si="70"/>
        <v>429</v>
      </c>
      <c r="AM302" s="20">
        <f t="shared" si="71"/>
        <v>471900000</v>
      </c>
      <c r="AN302" s="20"/>
    </row>
    <row r="303" spans="15:44">
      <c r="Q303" s="99" t="s">
        <v>4715</v>
      </c>
      <c r="R303" s="95">
        <v>37328780</v>
      </c>
      <c r="T303" s="213" t="s">
        <v>5243</v>
      </c>
      <c r="U303" s="213">
        <v>-112</v>
      </c>
      <c r="V303" s="113">
        <v>485.78</v>
      </c>
      <c r="W303" s="113">
        <f t="shared" si="66"/>
        <v>-54407.360000000001</v>
      </c>
      <c r="X303" s="36" t="s">
        <v>452</v>
      </c>
      <c r="Y303" t="s">
        <v>25</v>
      </c>
      <c r="AH303" s="20">
        <v>50</v>
      </c>
      <c r="AI303" s="20" t="s">
        <v>4903</v>
      </c>
      <c r="AJ303" s="117">
        <v>450000</v>
      </c>
      <c r="AK303" s="20">
        <v>0</v>
      </c>
      <c r="AL303" s="20">
        <f t="shared" si="70"/>
        <v>428</v>
      </c>
      <c r="AM303" s="20">
        <f t="shared" si="71"/>
        <v>192600000</v>
      </c>
      <c r="AN303" s="20"/>
    </row>
    <row r="304" spans="15:44">
      <c r="Q304" s="99" t="s">
        <v>4721</v>
      </c>
      <c r="R304" s="95">
        <v>50000000</v>
      </c>
      <c r="T304" s="213" t="s">
        <v>5243</v>
      </c>
      <c r="U304" s="213">
        <v>123</v>
      </c>
      <c r="V304" s="113">
        <v>485.78</v>
      </c>
      <c r="W304" s="113">
        <f t="shared" si="66"/>
        <v>59750.939999999995</v>
      </c>
      <c r="X304" s="36" t="s">
        <v>749</v>
      </c>
      <c r="AH304" s="149">
        <v>51</v>
      </c>
      <c r="AI304" s="149" t="s">
        <v>4903</v>
      </c>
      <c r="AJ304" s="188">
        <v>550000</v>
      </c>
      <c r="AK304" s="149">
        <v>1</v>
      </c>
      <c r="AL304" s="149">
        <f t="shared" si="70"/>
        <v>428</v>
      </c>
      <c r="AM304" s="149">
        <f t="shared" si="71"/>
        <v>235400000</v>
      </c>
      <c r="AN304" s="149"/>
    </row>
    <row r="305" spans="16:40">
      <c r="Q305" s="99" t="s">
        <v>4783</v>
      </c>
      <c r="R305" s="95">
        <v>68656</v>
      </c>
      <c r="T305" s="213" t="s">
        <v>5243</v>
      </c>
      <c r="U305" s="213">
        <v>-123</v>
      </c>
      <c r="V305" s="113">
        <v>485.78</v>
      </c>
      <c r="W305" s="113">
        <f t="shared" si="66"/>
        <v>-59750.939999999995</v>
      </c>
      <c r="X305" s="36" t="s">
        <v>4434</v>
      </c>
      <c r="AH305" s="149">
        <v>52</v>
      </c>
      <c r="AI305" s="149" t="s">
        <v>4905</v>
      </c>
      <c r="AJ305" s="188">
        <v>1000000</v>
      </c>
      <c r="AK305" s="149">
        <v>8</v>
      </c>
      <c r="AL305" s="149">
        <f t="shared" si="70"/>
        <v>427</v>
      </c>
      <c r="AM305" s="149">
        <f t="shared" si="71"/>
        <v>427000000</v>
      </c>
      <c r="AN305" s="149"/>
    </row>
    <row r="306" spans="16:40">
      <c r="Q306" s="99" t="s">
        <v>4792</v>
      </c>
      <c r="R306" s="95">
        <v>4000236</v>
      </c>
      <c r="T306" s="213" t="s">
        <v>5289</v>
      </c>
      <c r="U306" s="213">
        <v>32367</v>
      </c>
      <c r="V306" s="113">
        <v>556.12900000000002</v>
      </c>
      <c r="W306" s="113">
        <f t="shared" si="66"/>
        <v>18000227.343000002</v>
      </c>
      <c r="X306" s="36" t="s">
        <v>452</v>
      </c>
      <c r="AH306" s="20">
        <v>53</v>
      </c>
      <c r="AI306" s="20" t="s">
        <v>4915</v>
      </c>
      <c r="AJ306" s="117">
        <v>-2668880</v>
      </c>
      <c r="AK306" s="20">
        <v>0</v>
      </c>
      <c r="AL306" s="20">
        <f t="shared" si="70"/>
        <v>419</v>
      </c>
      <c r="AM306" s="20">
        <f t="shared" si="71"/>
        <v>-1118260720</v>
      </c>
      <c r="AN306" s="20" t="s">
        <v>4917</v>
      </c>
    </row>
    <row r="307" spans="16:40">
      <c r="Q307" s="99" t="s">
        <v>4792</v>
      </c>
      <c r="R307" s="95">
        <v>2250000</v>
      </c>
      <c r="T307" s="213" t="s">
        <v>5305</v>
      </c>
      <c r="U307" s="213">
        <v>1254</v>
      </c>
      <c r="V307" s="113">
        <v>558.24400000000003</v>
      </c>
      <c r="W307" s="113">
        <f t="shared" si="66"/>
        <v>700037.97600000002</v>
      </c>
      <c r="X307" s="36" t="s">
        <v>4434</v>
      </c>
      <c r="AH307" s="149">
        <v>54</v>
      </c>
      <c r="AI307" s="149" t="s">
        <v>4915</v>
      </c>
      <c r="AJ307" s="188">
        <v>-1528620</v>
      </c>
      <c r="AK307" s="149">
        <v>0</v>
      </c>
      <c r="AL307" s="149">
        <f t="shared" si="70"/>
        <v>419</v>
      </c>
      <c r="AM307" s="149">
        <f t="shared" si="71"/>
        <v>-640491780</v>
      </c>
      <c r="AN307" s="149" t="s">
        <v>4917</v>
      </c>
    </row>
    <row r="308" spans="16:40">
      <c r="Q308" s="99" t="s">
        <v>4797</v>
      </c>
      <c r="R308" s="95">
        <v>-2512200</v>
      </c>
      <c r="T308" s="168" t="s">
        <v>5305</v>
      </c>
      <c r="U308" s="213">
        <v>-358</v>
      </c>
      <c r="V308" s="113">
        <v>558.24400000000003</v>
      </c>
      <c r="W308" s="113">
        <f t="shared" si="66"/>
        <v>-199851.35200000001</v>
      </c>
      <c r="X308" s="36" t="s">
        <v>749</v>
      </c>
      <c r="AH308" s="20">
        <v>55</v>
      </c>
      <c r="AI308" s="20" t="s">
        <v>4915</v>
      </c>
      <c r="AJ308" s="117">
        <v>50000000</v>
      </c>
      <c r="AK308" s="20">
        <v>4</v>
      </c>
      <c r="AL308" s="20">
        <f t="shared" si="70"/>
        <v>419</v>
      </c>
      <c r="AM308" s="20">
        <f t="shared" si="71"/>
        <v>20950000000</v>
      </c>
      <c r="AN308" s="20"/>
    </row>
    <row r="309" spans="16:40">
      <c r="Q309" s="99" t="s">
        <v>4806</v>
      </c>
      <c r="R309" s="95">
        <v>300000</v>
      </c>
      <c r="S309" s="114"/>
      <c r="T309" s="189" t="s">
        <v>5314</v>
      </c>
      <c r="U309" s="189">
        <v>-3326</v>
      </c>
      <c r="V309" s="188">
        <v>601.39300000000003</v>
      </c>
      <c r="W309" s="188">
        <f t="shared" si="66"/>
        <v>-2000233.118</v>
      </c>
      <c r="X309" s="279" t="s">
        <v>5153</v>
      </c>
      <c r="AH309" s="20">
        <v>56</v>
      </c>
      <c r="AI309" s="20" t="s">
        <v>4921</v>
      </c>
      <c r="AJ309" s="117">
        <v>400000</v>
      </c>
      <c r="AK309" s="20">
        <v>4</v>
      </c>
      <c r="AL309" s="20">
        <f t="shared" ref="AL309:AL318" si="72">AK309+AL310</f>
        <v>415</v>
      </c>
      <c r="AM309" s="20">
        <f t="shared" ref="AM309:AM318" si="73">AJ309*AL309</f>
        <v>166000000</v>
      </c>
      <c r="AN309" s="20"/>
    </row>
    <row r="310" spans="16:40">
      <c r="Q310" s="99" t="s">
        <v>978</v>
      </c>
      <c r="R310" s="95">
        <v>1100000</v>
      </c>
      <c r="T310" s="189" t="s">
        <v>5317</v>
      </c>
      <c r="U310" s="189">
        <v>3326</v>
      </c>
      <c r="V310" s="188">
        <v>601.39300000000003</v>
      </c>
      <c r="W310" s="188">
        <f t="shared" si="66"/>
        <v>2000233.118</v>
      </c>
      <c r="X310" s="279" t="s">
        <v>5153</v>
      </c>
      <c r="AH310" s="20">
        <v>57</v>
      </c>
      <c r="AI310" s="20" t="s">
        <v>4933</v>
      </c>
      <c r="AJ310" s="117">
        <v>2000000</v>
      </c>
      <c r="AK310" s="20">
        <v>3</v>
      </c>
      <c r="AL310" s="20">
        <f t="shared" si="72"/>
        <v>411</v>
      </c>
      <c r="AM310" s="20">
        <f t="shared" si="73"/>
        <v>822000000</v>
      </c>
      <c r="AN310" s="20"/>
    </row>
    <row r="311" spans="16:40">
      <c r="P311" t="s">
        <v>25</v>
      </c>
      <c r="Q311" s="99" t="s">
        <v>4813</v>
      </c>
      <c r="R311" s="95">
        <v>890000</v>
      </c>
      <c r="T311" s="189" t="s">
        <v>5329</v>
      </c>
      <c r="U311" s="189">
        <v>63259</v>
      </c>
      <c r="V311" s="188">
        <v>632.31960000000004</v>
      </c>
      <c r="W311" s="188">
        <f t="shared" si="66"/>
        <v>39999905.576400004</v>
      </c>
      <c r="X311" s="279" t="s">
        <v>1083</v>
      </c>
      <c r="AH311" s="20">
        <v>58</v>
      </c>
      <c r="AI311" s="20" t="s">
        <v>4936</v>
      </c>
      <c r="AJ311" s="117">
        <v>100000</v>
      </c>
      <c r="AK311" s="20">
        <v>4</v>
      </c>
      <c r="AL311" s="20">
        <f t="shared" si="72"/>
        <v>408</v>
      </c>
      <c r="AM311" s="20">
        <f t="shared" si="73"/>
        <v>40800000</v>
      </c>
      <c r="AN311" s="20" t="s">
        <v>3887</v>
      </c>
    </row>
    <row r="312" spans="16:40">
      <c r="P312" t="s">
        <v>25</v>
      </c>
      <c r="Q312" s="99" t="s">
        <v>4833</v>
      </c>
      <c r="R312" s="95">
        <v>1000000</v>
      </c>
      <c r="T312" s="19" t="s">
        <v>5334</v>
      </c>
      <c r="U312" s="19">
        <v>-1278</v>
      </c>
      <c r="V312" s="117">
        <v>625.98</v>
      </c>
      <c r="W312" s="117">
        <f t="shared" si="66"/>
        <v>-800002.44000000006</v>
      </c>
      <c r="X312" s="280" t="s">
        <v>5335</v>
      </c>
      <c r="AH312" s="20">
        <v>59</v>
      </c>
      <c r="AI312" s="20" t="s">
        <v>4945</v>
      </c>
      <c r="AJ312" s="117">
        <v>100000</v>
      </c>
      <c r="AK312" s="20">
        <v>7</v>
      </c>
      <c r="AL312" s="20">
        <f t="shared" si="72"/>
        <v>404</v>
      </c>
      <c r="AM312" s="20">
        <f t="shared" si="73"/>
        <v>40400000</v>
      </c>
      <c r="AN312" s="20"/>
    </row>
    <row r="313" spans="16:40">
      <c r="Q313" s="99" t="s">
        <v>4834</v>
      </c>
      <c r="R313" s="95">
        <v>45436311</v>
      </c>
      <c r="T313" s="19" t="s">
        <v>5340</v>
      </c>
      <c r="U313" s="19">
        <v>32049</v>
      </c>
      <c r="V313" s="117">
        <v>624.04600000000005</v>
      </c>
      <c r="W313" s="117">
        <f t="shared" si="66"/>
        <v>20000050.254000001</v>
      </c>
      <c r="X313" s="280" t="s">
        <v>5192</v>
      </c>
      <c r="AH313" s="20">
        <v>60</v>
      </c>
      <c r="AI313" s="20" t="s">
        <v>4958</v>
      </c>
      <c r="AJ313" s="117">
        <v>50000</v>
      </c>
      <c r="AK313" s="20">
        <v>0</v>
      </c>
      <c r="AL313" s="20">
        <f t="shared" si="72"/>
        <v>397</v>
      </c>
      <c r="AM313" s="20">
        <f t="shared" si="73"/>
        <v>19850000</v>
      </c>
      <c r="AN313" s="20"/>
    </row>
    <row r="314" spans="16:40" ht="30">
      <c r="Q314" s="99" t="s">
        <v>4834</v>
      </c>
      <c r="R314" s="95">
        <v>-3500000</v>
      </c>
      <c r="T314" s="19" t="s">
        <v>5350</v>
      </c>
      <c r="U314" s="19">
        <v>45094</v>
      </c>
      <c r="V314" s="117">
        <v>614.13559759999998</v>
      </c>
      <c r="W314" s="117">
        <f t="shared" si="66"/>
        <v>27693830.6381744</v>
      </c>
      <c r="X314" s="280" t="s">
        <v>5352</v>
      </c>
      <c r="AH314" s="149">
        <v>61</v>
      </c>
      <c r="AI314" s="149" t="s">
        <v>4958</v>
      </c>
      <c r="AJ314" s="188">
        <v>50000</v>
      </c>
      <c r="AK314" s="149">
        <v>3</v>
      </c>
      <c r="AL314" s="149">
        <f t="shared" si="72"/>
        <v>397</v>
      </c>
      <c r="AM314" s="149">
        <f t="shared" si="73"/>
        <v>19850000</v>
      </c>
      <c r="AN314" s="149"/>
    </row>
    <row r="315" spans="16:40" ht="30">
      <c r="Q315" s="99" t="s">
        <v>4847</v>
      </c>
      <c r="R315" s="95">
        <v>2520000</v>
      </c>
      <c r="T315" s="19" t="s">
        <v>5380</v>
      </c>
      <c r="U315" s="19">
        <v>-11804</v>
      </c>
      <c r="V315" s="117">
        <v>762.46640000000002</v>
      </c>
      <c r="W315" s="117">
        <f t="shared" si="66"/>
        <v>-9000153.3856000006</v>
      </c>
      <c r="X315" s="280" t="s">
        <v>5382</v>
      </c>
      <c r="AH315" s="20">
        <v>62</v>
      </c>
      <c r="AI315" s="20" t="s">
        <v>4962</v>
      </c>
      <c r="AJ315" s="117">
        <v>50000</v>
      </c>
      <c r="AK315" s="20">
        <v>0</v>
      </c>
      <c r="AL315" s="20">
        <f t="shared" si="72"/>
        <v>394</v>
      </c>
      <c r="AM315" s="20">
        <f t="shared" si="73"/>
        <v>19700000</v>
      </c>
      <c r="AN315" s="20"/>
    </row>
    <row r="316" spans="16:40">
      <c r="Q316" s="99" t="s">
        <v>4882</v>
      </c>
      <c r="R316" s="95">
        <v>4900000</v>
      </c>
      <c r="T316" s="19" t="s">
        <v>5425</v>
      </c>
      <c r="U316" s="19">
        <v>844</v>
      </c>
      <c r="V316" s="117">
        <v>830</v>
      </c>
      <c r="W316" s="117">
        <f t="shared" si="66"/>
        <v>700520</v>
      </c>
      <c r="X316" s="280" t="s">
        <v>4434</v>
      </c>
      <c r="AH316" s="195">
        <v>63</v>
      </c>
      <c r="AI316" s="195" t="s">
        <v>4962</v>
      </c>
      <c r="AJ316" s="196">
        <v>50000</v>
      </c>
      <c r="AK316" s="195">
        <v>2</v>
      </c>
      <c r="AL316" s="195">
        <f t="shared" si="72"/>
        <v>394</v>
      </c>
      <c r="AM316" s="195">
        <f t="shared" si="73"/>
        <v>19700000</v>
      </c>
      <c r="AN316" s="195"/>
    </row>
    <row r="317" spans="16:40">
      <c r="Q317" s="99" t="s">
        <v>4901</v>
      </c>
      <c r="R317" s="95">
        <v>1150000</v>
      </c>
      <c r="T317" s="19" t="s">
        <v>5429</v>
      </c>
      <c r="U317" s="19">
        <v>8662</v>
      </c>
      <c r="V317" s="117">
        <v>832.57011999999997</v>
      </c>
      <c r="W317" s="117">
        <f t="shared" si="66"/>
        <v>7211722.3794399993</v>
      </c>
      <c r="X317" s="280" t="s">
        <v>5187</v>
      </c>
      <c r="AH317" s="20">
        <v>64</v>
      </c>
      <c r="AI317" s="20" t="s">
        <v>4970</v>
      </c>
      <c r="AJ317" s="117">
        <v>25000</v>
      </c>
      <c r="AK317" s="20">
        <v>0</v>
      </c>
      <c r="AL317" s="20">
        <f t="shared" si="72"/>
        <v>392</v>
      </c>
      <c r="AM317" s="20">
        <f t="shared" si="73"/>
        <v>9800000</v>
      </c>
      <c r="AN317" s="20"/>
    </row>
    <row r="318" spans="16:40" ht="30">
      <c r="Q318" s="99" t="s">
        <v>4854</v>
      </c>
      <c r="R318" s="95">
        <v>250000</v>
      </c>
      <c r="T318" s="19" t="s">
        <v>5430</v>
      </c>
      <c r="U318" s="19">
        <v>10253</v>
      </c>
      <c r="V318" s="117">
        <v>827.2568</v>
      </c>
      <c r="W318" s="117">
        <f t="shared" si="66"/>
        <v>8481863.9704</v>
      </c>
      <c r="X318" s="280" t="s">
        <v>5437</v>
      </c>
      <c r="Y318" t="s">
        <v>25</v>
      </c>
      <c r="AH318" s="149">
        <v>65</v>
      </c>
      <c r="AI318" s="149" t="s">
        <v>4970</v>
      </c>
      <c r="AJ318" s="188">
        <v>35000</v>
      </c>
      <c r="AK318" s="149">
        <v>7</v>
      </c>
      <c r="AL318" s="149">
        <f t="shared" si="72"/>
        <v>392</v>
      </c>
      <c r="AM318" s="149">
        <f t="shared" si="73"/>
        <v>13720000</v>
      </c>
      <c r="AN318" s="149"/>
    </row>
    <row r="319" spans="16:40">
      <c r="Q319" s="99" t="s">
        <v>4942</v>
      </c>
      <c r="R319" s="95">
        <v>1403460</v>
      </c>
      <c r="T319" s="246" t="s">
        <v>5438</v>
      </c>
      <c r="U319" s="246">
        <v>-33077</v>
      </c>
      <c r="V319" s="247">
        <v>786.02973999999995</v>
      </c>
      <c r="W319" s="247">
        <f t="shared" si="66"/>
        <v>-25999505.70998</v>
      </c>
      <c r="X319" s="288" t="s">
        <v>5441</v>
      </c>
      <c r="AH319" s="149">
        <v>66</v>
      </c>
      <c r="AI319" s="149" t="s">
        <v>4978</v>
      </c>
      <c r="AJ319" s="188">
        <v>30000000</v>
      </c>
      <c r="AK319" s="149">
        <v>0</v>
      </c>
      <c r="AL319" s="149">
        <f t="shared" ref="AL319:AL338" si="74">AK319+AL320</f>
        <v>385</v>
      </c>
      <c r="AM319" s="149">
        <f t="shared" ref="AM319:AM338" si="75">AJ319*AL319</f>
        <v>11550000000</v>
      </c>
      <c r="AN319" s="149"/>
    </row>
    <row r="320" spans="16:40">
      <c r="Q320" s="99" t="s">
        <v>4945</v>
      </c>
      <c r="R320" s="95">
        <v>200000</v>
      </c>
      <c r="T320" s="19" t="s">
        <v>5438</v>
      </c>
      <c r="U320" s="19">
        <v>-33077</v>
      </c>
      <c r="V320" s="117">
        <v>786.02973999999995</v>
      </c>
      <c r="W320" s="117">
        <f t="shared" si="66"/>
        <v>-25999505.70998</v>
      </c>
      <c r="X320" s="280" t="s">
        <v>5442</v>
      </c>
      <c r="AH320" s="20">
        <v>67</v>
      </c>
      <c r="AI320" s="20" t="s">
        <v>4978</v>
      </c>
      <c r="AJ320" s="117">
        <v>6800000</v>
      </c>
      <c r="AK320" s="20">
        <v>1</v>
      </c>
      <c r="AL320" s="20">
        <f t="shared" si="74"/>
        <v>385</v>
      </c>
      <c r="AM320" s="20">
        <f t="shared" si="75"/>
        <v>2618000000</v>
      </c>
      <c r="AN320" s="20"/>
    </row>
    <row r="321" spans="17:44">
      <c r="Q321" s="99" t="s">
        <v>4950</v>
      </c>
      <c r="R321" s="95">
        <v>345000</v>
      </c>
      <c r="T321" s="19" t="s">
        <v>5438</v>
      </c>
      <c r="U321" s="19">
        <v>1983</v>
      </c>
      <c r="V321" s="117">
        <v>786.02973999999995</v>
      </c>
      <c r="W321" s="117">
        <f t="shared" si="66"/>
        <v>1558696.9744199999</v>
      </c>
      <c r="X321" s="280" t="s">
        <v>5187</v>
      </c>
      <c r="AH321" s="20">
        <v>68</v>
      </c>
      <c r="AI321" s="20" t="s">
        <v>4981</v>
      </c>
      <c r="AJ321" s="117">
        <v>500000</v>
      </c>
      <c r="AK321" s="20">
        <v>1</v>
      </c>
      <c r="AL321" s="20">
        <f t="shared" si="74"/>
        <v>384</v>
      </c>
      <c r="AM321" s="20">
        <f t="shared" si="75"/>
        <v>192000000</v>
      </c>
      <c r="AN321" s="20"/>
    </row>
    <row r="322" spans="17:44">
      <c r="Q322" s="99" t="s">
        <v>4955</v>
      </c>
      <c r="R322" s="95">
        <v>900000</v>
      </c>
      <c r="T322" s="246" t="s">
        <v>5443</v>
      </c>
      <c r="U322" s="246">
        <v>-119753</v>
      </c>
      <c r="V322" s="247">
        <v>800.81560000000002</v>
      </c>
      <c r="W322" s="247">
        <f t="shared" si="66"/>
        <v>-95900070.546800002</v>
      </c>
      <c r="X322" s="288" t="s">
        <v>5441</v>
      </c>
      <c r="AH322" s="20">
        <v>69</v>
      </c>
      <c r="AI322" s="20" t="s">
        <v>4987</v>
      </c>
      <c r="AJ322" s="117">
        <v>850000</v>
      </c>
      <c r="AK322" s="20">
        <v>5</v>
      </c>
      <c r="AL322" s="20">
        <f t="shared" si="74"/>
        <v>383</v>
      </c>
      <c r="AM322" s="20">
        <f t="shared" si="75"/>
        <v>325550000</v>
      </c>
      <c r="AN322" s="20"/>
    </row>
    <row r="323" spans="17:44">
      <c r="Q323" s="99" t="s">
        <v>4958</v>
      </c>
      <c r="R323" s="95">
        <v>372517</v>
      </c>
      <c r="T323" s="19" t="s">
        <v>5443</v>
      </c>
      <c r="U323" s="19">
        <v>-119753</v>
      </c>
      <c r="V323" s="117">
        <v>800.81560000000002</v>
      </c>
      <c r="W323" s="117">
        <f t="shared" si="66"/>
        <v>-95900070.546800002</v>
      </c>
      <c r="X323" s="280" t="s">
        <v>5442</v>
      </c>
      <c r="AH323" s="20">
        <v>70</v>
      </c>
      <c r="AI323" s="20" t="s">
        <v>4996</v>
      </c>
      <c r="AJ323" s="117">
        <v>1130250</v>
      </c>
      <c r="AK323" s="20">
        <v>0</v>
      </c>
      <c r="AL323" s="20">
        <f t="shared" si="74"/>
        <v>378</v>
      </c>
      <c r="AM323" s="20">
        <f t="shared" si="75"/>
        <v>427234500</v>
      </c>
      <c r="AN323" s="20"/>
    </row>
    <row r="324" spans="17:44">
      <c r="Q324" s="99" t="s">
        <v>4968</v>
      </c>
      <c r="R324" s="95">
        <v>6489257</v>
      </c>
      <c r="T324" s="19" t="s">
        <v>5443</v>
      </c>
      <c r="U324" s="19">
        <v>11291</v>
      </c>
      <c r="V324" s="117">
        <v>800.81560000000002</v>
      </c>
      <c r="W324" s="117">
        <f t="shared" si="66"/>
        <v>9042008.9396000002</v>
      </c>
      <c r="X324" s="280" t="s">
        <v>452</v>
      </c>
      <c r="Y324" t="s">
        <v>25</v>
      </c>
      <c r="AH324" s="256">
        <v>71</v>
      </c>
      <c r="AI324" s="256" t="s">
        <v>4996</v>
      </c>
      <c r="AJ324" s="247">
        <v>30000</v>
      </c>
      <c r="AK324" s="256">
        <v>5</v>
      </c>
      <c r="AL324" s="256">
        <f t="shared" si="74"/>
        <v>378</v>
      </c>
      <c r="AM324" s="256">
        <f t="shared" si="75"/>
        <v>11340000</v>
      </c>
      <c r="AN324" s="256"/>
    </row>
    <row r="325" spans="17:44">
      <c r="Q325" s="99" t="s">
        <v>5004</v>
      </c>
      <c r="R325" s="95">
        <v>618000</v>
      </c>
      <c r="T325" s="189" t="s">
        <v>5444</v>
      </c>
      <c r="U325" s="189">
        <v>-35361</v>
      </c>
      <c r="V325" s="188">
        <v>818.697</v>
      </c>
      <c r="W325" s="188">
        <f t="shared" si="66"/>
        <v>-28949944.616999999</v>
      </c>
      <c r="X325" s="279" t="s">
        <v>5441</v>
      </c>
      <c r="AH325" s="20">
        <v>72</v>
      </c>
      <c r="AI325" s="20" t="s">
        <v>5004</v>
      </c>
      <c r="AJ325" s="117">
        <v>206000</v>
      </c>
      <c r="AK325" s="20">
        <v>0</v>
      </c>
      <c r="AL325" s="20">
        <f t="shared" si="74"/>
        <v>373</v>
      </c>
      <c r="AM325" s="20">
        <f t="shared" si="75"/>
        <v>76838000</v>
      </c>
      <c r="AN325" s="20"/>
    </row>
    <row r="326" spans="17:44">
      <c r="Q326" s="99" t="s">
        <v>5015</v>
      </c>
      <c r="R326" s="95">
        <v>20105000</v>
      </c>
      <c r="T326" s="19" t="s">
        <v>5444</v>
      </c>
      <c r="U326" s="19">
        <v>-35361</v>
      </c>
      <c r="V326" s="117">
        <v>818.697</v>
      </c>
      <c r="W326" s="117">
        <f t="shared" si="66"/>
        <v>-28949944.616999999</v>
      </c>
      <c r="X326" s="280" t="s">
        <v>5442</v>
      </c>
      <c r="AH326" s="149">
        <v>73</v>
      </c>
      <c r="AI326" s="149" t="s">
        <v>5004</v>
      </c>
      <c r="AJ326" s="188">
        <v>206000</v>
      </c>
      <c r="AK326" s="149">
        <v>2</v>
      </c>
      <c r="AL326" s="149">
        <f t="shared" si="74"/>
        <v>373</v>
      </c>
      <c r="AM326" s="149">
        <f t="shared" si="75"/>
        <v>76838000</v>
      </c>
      <c r="AN326" s="149"/>
    </row>
    <row r="327" spans="17:44">
      <c r="Q327" s="99" t="s">
        <v>5019</v>
      </c>
      <c r="R327" s="95">
        <v>-21079990</v>
      </c>
      <c r="T327" s="19" t="s">
        <v>5444</v>
      </c>
      <c r="U327" s="19">
        <v>116</v>
      </c>
      <c r="V327" s="117">
        <v>818.697</v>
      </c>
      <c r="W327" s="117">
        <f t="shared" si="66"/>
        <v>94968.851999999999</v>
      </c>
      <c r="X327" s="280" t="s">
        <v>5187</v>
      </c>
      <c r="AH327" s="20">
        <v>74</v>
      </c>
      <c r="AI327" s="20" t="s">
        <v>5011</v>
      </c>
      <c r="AJ327" s="117">
        <v>50000</v>
      </c>
      <c r="AK327" s="20">
        <v>0</v>
      </c>
      <c r="AL327" s="20">
        <f t="shared" si="74"/>
        <v>371</v>
      </c>
      <c r="AM327" s="20">
        <f t="shared" si="75"/>
        <v>18550000</v>
      </c>
      <c r="AN327" s="20"/>
    </row>
    <row r="328" spans="17:44">
      <c r="Q328" s="99" t="s">
        <v>5020</v>
      </c>
      <c r="R328" s="95">
        <v>-5949277</v>
      </c>
      <c r="T328" s="19" t="s">
        <v>5450</v>
      </c>
      <c r="U328" s="19">
        <v>48633</v>
      </c>
      <c r="V328" s="117">
        <v>822.47199999999998</v>
      </c>
      <c r="W328" s="117">
        <f t="shared" si="66"/>
        <v>39999280.776000001</v>
      </c>
      <c r="X328" s="280" t="s">
        <v>5454</v>
      </c>
      <c r="AH328" s="256">
        <v>75</v>
      </c>
      <c r="AI328" s="256" t="s">
        <v>5011</v>
      </c>
      <c r="AJ328" s="247">
        <v>50000</v>
      </c>
      <c r="AK328" s="256">
        <v>2</v>
      </c>
      <c r="AL328" s="256">
        <f t="shared" si="74"/>
        <v>371</v>
      </c>
      <c r="AM328" s="256">
        <f t="shared" si="75"/>
        <v>18550000</v>
      </c>
      <c r="AN328" s="256"/>
    </row>
    <row r="329" spans="17:44">
      <c r="Q329" s="99" t="s">
        <v>5026</v>
      </c>
      <c r="R329" s="95">
        <v>-15370656</v>
      </c>
      <c r="T329" s="19" t="s">
        <v>5450</v>
      </c>
      <c r="U329" s="19">
        <v>3412</v>
      </c>
      <c r="V329" s="117">
        <v>822.47199999999998</v>
      </c>
      <c r="W329" s="117">
        <f t="shared" si="66"/>
        <v>2806274.4640000002</v>
      </c>
      <c r="X329" s="280" t="s">
        <v>5456</v>
      </c>
      <c r="AH329" s="20">
        <v>76</v>
      </c>
      <c r="AI329" s="20" t="s">
        <v>5015</v>
      </c>
      <c r="AJ329" s="117">
        <v>20000000</v>
      </c>
      <c r="AK329" s="20">
        <v>7</v>
      </c>
      <c r="AL329" s="20">
        <f t="shared" si="74"/>
        <v>369</v>
      </c>
      <c r="AM329" s="20">
        <f t="shared" si="75"/>
        <v>7380000000</v>
      </c>
      <c r="AN329" s="20" t="s">
        <v>5016</v>
      </c>
    </row>
    <row r="330" spans="17:44">
      <c r="Q330" s="99" t="s">
        <v>5032</v>
      </c>
      <c r="R330" s="95">
        <v>4960000</v>
      </c>
      <c r="T330" s="19" t="s">
        <v>5451</v>
      </c>
      <c r="U330" s="19">
        <v>1531</v>
      </c>
      <c r="V330" s="117">
        <v>869.82500000000005</v>
      </c>
      <c r="W330" s="117">
        <f t="shared" si="66"/>
        <v>1331702.075</v>
      </c>
      <c r="X330" s="280" t="s">
        <v>5457</v>
      </c>
      <c r="AH330" s="20">
        <v>77</v>
      </c>
      <c r="AI330" s="20" t="s">
        <v>5026</v>
      </c>
      <c r="AJ330" s="117">
        <v>50000</v>
      </c>
      <c r="AK330" s="20">
        <v>0</v>
      </c>
      <c r="AL330" s="20">
        <f t="shared" si="74"/>
        <v>362</v>
      </c>
      <c r="AM330" s="20">
        <f t="shared" si="75"/>
        <v>18100000</v>
      </c>
      <c r="AN330" s="20"/>
    </row>
    <row r="331" spans="17:44">
      <c r="Q331" s="99" t="s">
        <v>5032</v>
      </c>
      <c r="R331" s="95">
        <v>10000000</v>
      </c>
      <c r="T331" s="172" t="s">
        <v>5460</v>
      </c>
      <c r="U331" s="172">
        <v>2394</v>
      </c>
      <c r="V331" s="170">
        <v>835.36580000000004</v>
      </c>
      <c r="W331" s="170">
        <f t="shared" si="66"/>
        <v>1999865.7252</v>
      </c>
      <c r="X331" s="289" t="s">
        <v>5462</v>
      </c>
      <c r="AH331" s="149">
        <v>78</v>
      </c>
      <c r="AI331" s="149" t="s">
        <v>5026</v>
      </c>
      <c r="AJ331" s="188">
        <v>50000</v>
      </c>
      <c r="AK331" s="149">
        <v>7</v>
      </c>
      <c r="AL331" s="149">
        <f t="shared" si="74"/>
        <v>362</v>
      </c>
      <c r="AM331" s="149">
        <f t="shared" si="75"/>
        <v>18100000</v>
      </c>
      <c r="AN331" s="149"/>
    </row>
    <row r="332" spans="17:44">
      <c r="Q332" s="99" t="s">
        <v>5039</v>
      </c>
      <c r="R332" s="95">
        <v>-40570100</v>
      </c>
      <c r="T332" s="19" t="s">
        <v>5460</v>
      </c>
      <c r="U332" s="19">
        <v>1019</v>
      </c>
      <c r="V332" s="117">
        <v>835.36580000000004</v>
      </c>
      <c r="W332" s="117">
        <f t="shared" si="66"/>
        <v>851237.75020000001</v>
      </c>
      <c r="X332" s="280" t="s">
        <v>452</v>
      </c>
      <c r="Z332" t="s">
        <v>25</v>
      </c>
      <c r="AH332" s="20">
        <v>79</v>
      </c>
      <c r="AI332" s="20" t="s">
        <v>5032</v>
      </c>
      <c r="AJ332" s="117">
        <v>2480000</v>
      </c>
      <c r="AK332" s="20">
        <v>0</v>
      </c>
      <c r="AL332" s="20">
        <f t="shared" si="74"/>
        <v>355</v>
      </c>
      <c r="AM332" s="20">
        <f t="shared" si="75"/>
        <v>880400000</v>
      </c>
      <c r="AN332" s="20"/>
      <c r="AR332" t="s">
        <v>25</v>
      </c>
    </row>
    <row r="333" spans="17:44">
      <c r="Q333" s="99" t="s">
        <v>5048</v>
      </c>
      <c r="R333" s="95">
        <v>1000000</v>
      </c>
      <c r="T333" s="189" t="s">
        <v>5466</v>
      </c>
      <c r="U333" s="189">
        <v>2316</v>
      </c>
      <c r="V333" s="188">
        <v>818.697</v>
      </c>
      <c r="W333" s="188">
        <f t="shared" si="66"/>
        <v>1896102.2520000001</v>
      </c>
      <c r="X333" s="279" t="s">
        <v>5469</v>
      </c>
      <c r="AH333" s="149">
        <v>80</v>
      </c>
      <c r="AI333" s="149" t="s">
        <v>5032</v>
      </c>
      <c r="AJ333" s="188">
        <v>2480000</v>
      </c>
      <c r="AK333" s="149">
        <v>12</v>
      </c>
      <c r="AL333" s="149">
        <f t="shared" si="74"/>
        <v>355</v>
      </c>
      <c r="AM333" s="149">
        <f t="shared" si="75"/>
        <v>880400000</v>
      </c>
      <c r="AN333" s="149"/>
    </row>
    <row r="334" spans="17:44">
      <c r="Q334" s="99" t="s">
        <v>5049</v>
      </c>
      <c r="R334" s="95">
        <v>400000</v>
      </c>
      <c r="T334" s="19" t="s">
        <v>5475</v>
      </c>
      <c r="U334" s="19">
        <v>315</v>
      </c>
      <c r="V334" s="117">
        <v>680</v>
      </c>
      <c r="W334" s="117">
        <f t="shared" si="66"/>
        <v>214200</v>
      </c>
      <c r="X334" s="280" t="s">
        <v>5187</v>
      </c>
      <c r="AH334" s="20">
        <v>81</v>
      </c>
      <c r="AI334" s="20" t="s">
        <v>5039</v>
      </c>
      <c r="AJ334" s="117">
        <v>-24159500</v>
      </c>
      <c r="AK334" s="20">
        <v>4</v>
      </c>
      <c r="AL334" s="20">
        <f t="shared" si="74"/>
        <v>343</v>
      </c>
      <c r="AM334" s="20">
        <f t="shared" si="75"/>
        <v>-8286708500</v>
      </c>
      <c r="AN334" s="20" t="s">
        <v>5047</v>
      </c>
    </row>
    <row r="335" spans="17:44">
      <c r="Q335" s="99" t="s">
        <v>5056</v>
      </c>
      <c r="R335" s="95">
        <v>120000</v>
      </c>
      <c r="T335" s="19" t="s">
        <v>5502</v>
      </c>
      <c r="U335" s="19">
        <v>832</v>
      </c>
      <c r="V335" s="117">
        <v>784.36500000000001</v>
      </c>
      <c r="W335" s="117">
        <f t="shared" si="66"/>
        <v>652591.68000000005</v>
      </c>
      <c r="X335" s="280" t="s">
        <v>5187</v>
      </c>
      <c r="AH335" s="20">
        <v>82</v>
      </c>
      <c r="AI335" s="20" t="s">
        <v>5049</v>
      </c>
      <c r="AJ335" s="117">
        <v>400000</v>
      </c>
      <c r="AK335" s="20">
        <v>3</v>
      </c>
      <c r="AL335" s="20">
        <f t="shared" si="74"/>
        <v>339</v>
      </c>
      <c r="AM335" s="20">
        <f t="shared" si="75"/>
        <v>135600000</v>
      </c>
      <c r="AN335" s="20"/>
    </row>
    <row r="336" spans="17:44">
      <c r="Q336" s="99" t="s">
        <v>5073</v>
      </c>
      <c r="R336" s="95">
        <v>500000</v>
      </c>
      <c r="S336" s="114"/>
      <c r="T336" s="19" t="s">
        <v>5573</v>
      </c>
      <c r="U336" s="19">
        <v>382</v>
      </c>
      <c r="V336" s="117">
        <v>1450.6065000000001</v>
      </c>
      <c r="W336" s="117">
        <f t="shared" si="66"/>
        <v>554131.68300000008</v>
      </c>
      <c r="X336" s="280" t="s">
        <v>5187</v>
      </c>
      <c r="Y336" t="s">
        <v>25</v>
      </c>
      <c r="AA336" t="s">
        <v>25</v>
      </c>
      <c r="AH336" s="149">
        <v>83</v>
      </c>
      <c r="AI336" s="149" t="s">
        <v>5056</v>
      </c>
      <c r="AJ336" s="188">
        <v>40000</v>
      </c>
      <c r="AK336" s="149">
        <v>0</v>
      </c>
      <c r="AL336" s="149">
        <f t="shared" si="74"/>
        <v>336</v>
      </c>
      <c r="AM336" s="149">
        <f t="shared" si="75"/>
        <v>13440000</v>
      </c>
      <c r="AN336" s="149"/>
      <c r="AR336" t="s">
        <v>25</v>
      </c>
    </row>
    <row r="337" spans="17:46">
      <c r="Q337" s="99" t="s">
        <v>5061</v>
      </c>
      <c r="R337" s="95">
        <v>744000</v>
      </c>
      <c r="T337" s="19" t="s">
        <v>5574</v>
      </c>
      <c r="U337" s="19">
        <v>50047</v>
      </c>
      <c r="V337" s="117">
        <v>1406.14</v>
      </c>
      <c r="W337" s="117">
        <f t="shared" si="66"/>
        <v>70373088.579999998</v>
      </c>
      <c r="X337" s="280" t="s">
        <v>5187</v>
      </c>
      <c r="AH337" s="20">
        <v>84</v>
      </c>
      <c r="AI337" s="20" t="s">
        <v>5056</v>
      </c>
      <c r="AJ337" s="117">
        <v>40000</v>
      </c>
      <c r="AK337" s="20">
        <v>5</v>
      </c>
      <c r="AL337" s="20">
        <f t="shared" si="74"/>
        <v>336</v>
      </c>
      <c r="AM337" s="20">
        <f t="shared" si="75"/>
        <v>13440000</v>
      </c>
      <c r="AN337" s="20"/>
      <c r="AS337" t="s">
        <v>25</v>
      </c>
    </row>
    <row r="338" spans="17:46">
      <c r="Q338" s="99" t="s">
        <v>5089</v>
      </c>
      <c r="R338" s="95">
        <v>65000</v>
      </c>
      <c r="T338" s="19" t="s">
        <v>5576</v>
      </c>
      <c r="U338" s="19">
        <v>846</v>
      </c>
      <c r="V338" s="117">
        <v>1441.6724569999999</v>
      </c>
      <c r="W338" s="117">
        <f t="shared" si="66"/>
        <v>1219654.8986219999</v>
      </c>
      <c r="X338" s="280" t="s">
        <v>5187</v>
      </c>
      <c r="Y338" t="s">
        <v>25</v>
      </c>
      <c r="AH338" s="20">
        <v>85</v>
      </c>
      <c r="AI338" s="20" t="s">
        <v>5067</v>
      </c>
      <c r="AJ338" s="117">
        <v>200000</v>
      </c>
      <c r="AK338" s="20">
        <v>1</v>
      </c>
      <c r="AL338" s="20">
        <f t="shared" si="74"/>
        <v>331</v>
      </c>
      <c r="AM338" s="20">
        <f t="shared" si="75"/>
        <v>66200000</v>
      </c>
      <c r="AN338" s="20"/>
      <c r="AR338" t="s">
        <v>25</v>
      </c>
      <c r="AT338" s="96" t="s">
        <v>25</v>
      </c>
    </row>
    <row r="339" spans="17:46">
      <c r="Q339" s="99" t="s">
        <v>5095</v>
      </c>
      <c r="R339" s="95">
        <v>-14053702</v>
      </c>
      <c r="T339" s="19" t="s">
        <v>5577</v>
      </c>
      <c r="U339" s="19">
        <v>10573</v>
      </c>
      <c r="V339" s="117">
        <v>1451.825</v>
      </c>
      <c r="W339" s="117">
        <f t="shared" si="66"/>
        <v>15350145.725</v>
      </c>
      <c r="X339" s="280" t="s">
        <v>5187</v>
      </c>
      <c r="Z339" t="s">
        <v>25</v>
      </c>
      <c r="AH339" s="20">
        <v>86</v>
      </c>
      <c r="AI339" s="20" t="s">
        <v>5071</v>
      </c>
      <c r="AJ339" s="117">
        <v>500000</v>
      </c>
      <c r="AK339" s="20">
        <v>2</v>
      </c>
      <c r="AL339" s="20">
        <f t="shared" ref="AL339:AL368" si="76">AK339+AL340</f>
        <v>330</v>
      </c>
      <c r="AM339" s="20">
        <f t="shared" ref="AM339:AM368" si="77">AJ339*AL339</f>
        <v>165000000</v>
      </c>
      <c r="AN339" s="20"/>
      <c r="AS339" t="s">
        <v>25</v>
      </c>
    </row>
    <row r="340" spans="17:46" ht="30">
      <c r="Q340" s="99" t="s">
        <v>5062</v>
      </c>
      <c r="R340" s="95">
        <v>3555678</v>
      </c>
      <c r="T340" s="19" t="s">
        <v>5579</v>
      </c>
      <c r="U340" s="19">
        <v>85</v>
      </c>
      <c r="V340" s="117">
        <v>1423.74</v>
      </c>
      <c r="W340" s="117">
        <f t="shared" si="66"/>
        <v>121017.9</v>
      </c>
      <c r="X340" s="280" t="s">
        <v>5580</v>
      </c>
      <c r="AH340" s="20">
        <v>87</v>
      </c>
      <c r="AI340" s="20" t="s">
        <v>5073</v>
      </c>
      <c r="AJ340" s="117">
        <v>500000</v>
      </c>
      <c r="AK340" s="20">
        <v>3</v>
      </c>
      <c r="AL340" s="20">
        <f t="shared" si="76"/>
        <v>328</v>
      </c>
      <c r="AM340" s="20">
        <f t="shared" si="77"/>
        <v>164000000</v>
      </c>
      <c r="AN340" s="20"/>
    </row>
    <row r="341" spans="17:46" ht="30">
      <c r="Q341" s="99" t="s">
        <v>5131</v>
      </c>
      <c r="R341" s="95">
        <v>3495</v>
      </c>
      <c r="T341" s="19" t="s">
        <v>5583</v>
      </c>
      <c r="U341" s="19">
        <v>738</v>
      </c>
      <c r="V341" s="117">
        <v>1388.87895</v>
      </c>
      <c r="W341" s="117">
        <f t="shared" si="66"/>
        <v>1024992.6651</v>
      </c>
      <c r="X341" s="280" t="s">
        <v>5597</v>
      </c>
      <c r="AH341" s="20">
        <v>88</v>
      </c>
      <c r="AI341" s="20" t="s">
        <v>5061</v>
      </c>
      <c r="AJ341" s="117">
        <v>250000</v>
      </c>
      <c r="AK341" s="20">
        <v>0</v>
      </c>
      <c r="AL341" s="20">
        <f t="shared" si="76"/>
        <v>325</v>
      </c>
      <c r="AM341" s="20">
        <f t="shared" si="77"/>
        <v>81250000</v>
      </c>
      <c r="AN341" s="20"/>
    </row>
    <row r="342" spans="17:46">
      <c r="Q342" s="99" t="s">
        <v>5137</v>
      </c>
      <c r="R342" s="95">
        <v>6000000</v>
      </c>
      <c r="T342" s="19" t="s">
        <v>5605</v>
      </c>
      <c r="U342" s="19">
        <v>1442</v>
      </c>
      <c r="V342" s="117">
        <v>1350.9547279999999</v>
      </c>
      <c r="W342" s="117">
        <f t="shared" si="66"/>
        <v>1948076.7177759998</v>
      </c>
      <c r="X342" s="280" t="s">
        <v>5187</v>
      </c>
      <c r="Y342" t="s">
        <v>25</v>
      </c>
      <c r="AA342" t="s">
        <v>25</v>
      </c>
      <c r="AH342" s="256">
        <v>89</v>
      </c>
      <c r="AI342" s="256" t="s">
        <v>5061</v>
      </c>
      <c r="AJ342" s="247">
        <v>245000</v>
      </c>
      <c r="AK342" s="256">
        <v>16</v>
      </c>
      <c r="AL342" s="256">
        <f t="shared" si="76"/>
        <v>325</v>
      </c>
      <c r="AM342" s="256">
        <f t="shared" si="77"/>
        <v>79625000</v>
      </c>
      <c r="AN342" s="256"/>
    </row>
    <row r="343" spans="17:46">
      <c r="Q343" s="99" t="s">
        <v>5140</v>
      </c>
      <c r="R343" s="95">
        <v>17220</v>
      </c>
      <c r="T343" s="19" t="s">
        <v>5606</v>
      </c>
      <c r="U343" s="19">
        <v>36847</v>
      </c>
      <c r="V343" s="117">
        <v>1356.9658300000001</v>
      </c>
      <c r="W343" s="117">
        <f t="shared" si="66"/>
        <v>50000119.938010007</v>
      </c>
      <c r="X343" s="280" t="s">
        <v>5192</v>
      </c>
      <c r="AH343" s="20">
        <v>90</v>
      </c>
      <c r="AI343" s="20" t="s">
        <v>5099</v>
      </c>
      <c r="AJ343" s="117">
        <v>312598</v>
      </c>
      <c r="AK343" s="20">
        <v>0</v>
      </c>
      <c r="AL343" s="20">
        <f t="shared" si="76"/>
        <v>309</v>
      </c>
      <c r="AM343" s="20">
        <f t="shared" si="77"/>
        <v>96592782</v>
      </c>
      <c r="AN343" s="20"/>
    </row>
    <row r="344" spans="17:46" ht="30">
      <c r="Q344" s="99" t="s">
        <v>5141</v>
      </c>
      <c r="R344" s="95">
        <v>8249</v>
      </c>
      <c r="T344" s="19" t="s">
        <v>5607</v>
      </c>
      <c r="U344" s="19">
        <v>13738</v>
      </c>
      <c r="V344" s="117">
        <v>1455.82</v>
      </c>
      <c r="W344" s="117">
        <f t="shared" si="66"/>
        <v>20000055.16</v>
      </c>
      <c r="X344" s="280" t="s">
        <v>5632</v>
      </c>
      <c r="AH344" s="20">
        <v>91</v>
      </c>
      <c r="AI344" s="20" t="s">
        <v>5099</v>
      </c>
      <c r="AJ344" s="117">
        <v>780000</v>
      </c>
      <c r="AK344" s="20">
        <v>0</v>
      </c>
      <c r="AL344" s="20">
        <f t="shared" si="76"/>
        <v>309</v>
      </c>
      <c r="AM344" s="20">
        <f t="shared" si="77"/>
        <v>241020000</v>
      </c>
      <c r="AN344" s="20"/>
    </row>
    <row r="345" spans="17:46">
      <c r="Q345" s="99" t="s">
        <v>5143</v>
      </c>
      <c r="R345" s="95">
        <v>6937</v>
      </c>
      <c r="S345" t="s">
        <v>25</v>
      </c>
      <c r="T345" s="19" t="s">
        <v>5644</v>
      </c>
      <c r="U345" s="19">
        <v>3100</v>
      </c>
      <c r="V345" s="117">
        <v>1853.4507470000001</v>
      </c>
      <c r="W345" s="117">
        <f t="shared" si="66"/>
        <v>5745697.3157000002</v>
      </c>
      <c r="X345" s="280" t="s">
        <v>5187</v>
      </c>
      <c r="AH345" s="195">
        <v>92</v>
      </c>
      <c r="AI345" s="195" t="s">
        <v>5099</v>
      </c>
      <c r="AJ345" s="196">
        <v>-300000</v>
      </c>
      <c r="AK345" s="195">
        <v>1</v>
      </c>
      <c r="AL345" s="195">
        <f t="shared" si="76"/>
        <v>309</v>
      </c>
      <c r="AM345" s="195">
        <f t="shared" si="77"/>
        <v>-92700000</v>
      </c>
      <c r="AN345" s="195"/>
    </row>
    <row r="346" spans="17:46">
      <c r="Q346" s="99" t="s">
        <v>5143</v>
      </c>
      <c r="R346" s="95">
        <v>4046552</v>
      </c>
      <c r="T346" s="19" t="s">
        <v>5645</v>
      </c>
      <c r="U346" s="19">
        <v>480</v>
      </c>
      <c r="V346" s="117">
        <v>1891.9962069999999</v>
      </c>
      <c r="W346" s="117">
        <f t="shared" si="66"/>
        <v>908158.17935999995</v>
      </c>
      <c r="X346" s="280" t="s">
        <v>5187</v>
      </c>
      <c r="AA346" t="s">
        <v>25</v>
      </c>
      <c r="AH346" s="20">
        <v>93</v>
      </c>
      <c r="AI346" s="20" t="s">
        <v>5062</v>
      </c>
      <c r="AJ346" s="117">
        <v>300000</v>
      </c>
      <c r="AK346" s="20">
        <v>0</v>
      </c>
      <c r="AL346" s="20">
        <f t="shared" si="76"/>
        <v>308</v>
      </c>
      <c r="AM346" s="20">
        <f t="shared" si="77"/>
        <v>92400000</v>
      </c>
      <c r="AN346" s="20"/>
    </row>
    <row r="347" spans="17:46">
      <c r="Q347" s="99" t="s">
        <v>5146</v>
      </c>
      <c r="R347" s="95">
        <v>-3884943</v>
      </c>
      <c r="T347" s="19" t="s">
        <v>5647</v>
      </c>
      <c r="U347" s="19">
        <v>6522</v>
      </c>
      <c r="V347" s="117">
        <v>1938.4694340000001</v>
      </c>
      <c r="W347" s="117">
        <f t="shared" si="66"/>
        <v>12642697.648548001</v>
      </c>
      <c r="X347" s="280" t="s">
        <v>5187</v>
      </c>
      <c r="Y347" t="s">
        <v>25</v>
      </c>
      <c r="AH347" s="20">
        <v>94</v>
      </c>
      <c r="AI347" s="20" t="s">
        <v>5062</v>
      </c>
      <c r="AJ347" s="117">
        <v>8660000</v>
      </c>
      <c r="AK347" s="20">
        <v>8</v>
      </c>
      <c r="AL347" s="20">
        <f t="shared" si="76"/>
        <v>308</v>
      </c>
      <c r="AM347" s="20">
        <f t="shared" si="77"/>
        <v>2667280000</v>
      </c>
      <c r="AN347" s="20"/>
    </row>
    <row r="348" spans="17:46">
      <c r="Q348" s="99" t="s">
        <v>5155</v>
      </c>
      <c r="R348" s="95">
        <v>6022</v>
      </c>
      <c r="T348" s="19" t="s">
        <v>5648</v>
      </c>
      <c r="U348" s="19">
        <v>6197</v>
      </c>
      <c r="V348" s="117">
        <v>1984.3985499999999</v>
      </c>
      <c r="W348" s="117">
        <f t="shared" si="66"/>
        <v>12297317.81435</v>
      </c>
      <c r="X348" s="280" t="s">
        <v>5187</v>
      </c>
      <c r="Y348" t="s">
        <v>25</v>
      </c>
      <c r="Z348" t="s">
        <v>25</v>
      </c>
      <c r="AH348" s="149">
        <v>95</v>
      </c>
      <c r="AI348" s="149" t="s">
        <v>5116</v>
      </c>
      <c r="AJ348" s="188">
        <v>200000</v>
      </c>
      <c r="AK348" s="149">
        <v>3</v>
      </c>
      <c r="AL348" s="149">
        <f t="shared" si="76"/>
        <v>300</v>
      </c>
      <c r="AM348" s="149">
        <f t="shared" si="77"/>
        <v>60000000</v>
      </c>
      <c r="AN348" s="149"/>
    </row>
    <row r="349" spans="17:46">
      <c r="Q349" s="99" t="s">
        <v>5182</v>
      </c>
      <c r="R349" s="95">
        <v>400000</v>
      </c>
      <c r="T349" s="19" t="s">
        <v>5649</v>
      </c>
      <c r="U349" s="19">
        <v>4646</v>
      </c>
      <c r="V349" s="117">
        <v>1928.464023</v>
      </c>
      <c r="W349" s="117">
        <f t="shared" si="66"/>
        <v>8959643.8508579992</v>
      </c>
      <c r="X349" s="280" t="s">
        <v>5187</v>
      </c>
      <c r="AH349" s="149">
        <v>96</v>
      </c>
      <c r="AI349" s="149" t="s">
        <v>5119</v>
      </c>
      <c r="AJ349" s="188">
        <v>20000</v>
      </c>
      <c r="AK349" s="149">
        <v>1</v>
      </c>
      <c r="AL349" s="149">
        <f t="shared" si="76"/>
        <v>297</v>
      </c>
      <c r="AM349" s="149">
        <f t="shared" si="77"/>
        <v>5940000</v>
      </c>
      <c r="AN349" s="149"/>
    </row>
    <row r="350" spans="17:46">
      <c r="Q350" s="99" t="s">
        <v>5186</v>
      </c>
      <c r="R350" s="95">
        <v>92847</v>
      </c>
      <c r="T350" s="19" t="s">
        <v>5650</v>
      </c>
      <c r="U350" s="19">
        <v>7668</v>
      </c>
      <c r="V350" s="117">
        <v>1976.2774959999999</v>
      </c>
      <c r="W350" s="117">
        <f t="shared" si="66"/>
        <v>15154095.839328</v>
      </c>
      <c r="X350" s="280" t="s">
        <v>5187</v>
      </c>
      <c r="AH350" s="20">
        <v>97</v>
      </c>
      <c r="AI350" s="20" t="s">
        <v>5129</v>
      </c>
      <c r="AJ350" s="117">
        <v>14340000</v>
      </c>
      <c r="AK350" s="20">
        <v>7</v>
      </c>
      <c r="AL350" s="20">
        <f t="shared" si="76"/>
        <v>296</v>
      </c>
      <c r="AM350" s="20">
        <f t="shared" si="77"/>
        <v>4244640000</v>
      </c>
      <c r="AN350" s="20"/>
    </row>
    <row r="351" spans="17:46" ht="30">
      <c r="Q351" s="99" t="s">
        <v>5186</v>
      </c>
      <c r="R351" s="95">
        <v>-100000</v>
      </c>
      <c r="T351" s="19" t="s">
        <v>5664</v>
      </c>
      <c r="U351" s="19">
        <v>-43325</v>
      </c>
      <c r="V351" s="117">
        <v>2146.5548840000001</v>
      </c>
      <c r="W351" s="117">
        <f t="shared" si="66"/>
        <v>-92999490.349300012</v>
      </c>
      <c r="X351" s="280" t="s">
        <v>5665</v>
      </c>
      <c r="AH351" s="20">
        <v>98</v>
      </c>
      <c r="AI351" s="20" t="s">
        <v>5137</v>
      </c>
      <c r="AJ351" s="117">
        <v>10000000</v>
      </c>
      <c r="AK351" s="20">
        <v>6</v>
      </c>
      <c r="AL351" s="20">
        <f t="shared" si="76"/>
        <v>289</v>
      </c>
      <c r="AM351" s="20">
        <f t="shared" si="77"/>
        <v>2890000000</v>
      </c>
      <c r="AN351" s="20" t="s">
        <v>4723</v>
      </c>
    </row>
    <row r="352" spans="17:46">
      <c r="Q352" s="99" t="s">
        <v>5190</v>
      </c>
      <c r="R352" s="95">
        <v>10000000</v>
      </c>
      <c r="T352" s="189" t="s">
        <v>5664</v>
      </c>
      <c r="U352" s="189">
        <v>-589</v>
      </c>
      <c r="V352" s="188">
        <v>2146.5548840000001</v>
      </c>
      <c r="W352" s="188">
        <f t="shared" si="66"/>
        <v>-1264320.8266760001</v>
      </c>
      <c r="X352" s="279" t="s">
        <v>5671</v>
      </c>
      <c r="AH352" s="20">
        <v>99</v>
      </c>
      <c r="AI352" s="20" t="s">
        <v>5143</v>
      </c>
      <c r="AJ352" s="117">
        <v>4033949</v>
      </c>
      <c r="AK352" s="20">
        <v>2</v>
      </c>
      <c r="AL352" s="20">
        <f t="shared" si="76"/>
        <v>283</v>
      </c>
      <c r="AM352" s="20">
        <f t="shared" si="77"/>
        <v>1141607567</v>
      </c>
      <c r="AN352" s="20" t="s">
        <v>5145</v>
      </c>
    </row>
    <row r="353" spans="17:45">
      <c r="Q353" s="99" t="s">
        <v>5195</v>
      </c>
      <c r="R353" s="95">
        <v>-400000</v>
      </c>
      <c r="T353" s="19" t="s">
        <v>5679</v>
      </c>
      <c r="U353" s="19">
        <v>20888</v>
      </c>
      <c r="V353" s="117">
        <v>2428.4521530000002</v>
      </c>
      <c r="W353" s="117">
        <f t="shared" si="66"/>
        <v>50725508.571864001</v>
      </c>
      <c r="X353" s="280" t="s">
        <v>5187</v>
      </c>
      <c r="AH353" s="149">
        <v>100</v>
      </c>
      <c r="AI353" s="149" t="s">
        <v>5149</v>
      </c>
      <c r="AJ353" s="188">
        <v>11500000</v>
      </c>
      <c r="AK353" s="149">
        <v>2</v>
      </c>
      <c r="AL353" s="149">
        <f t="shared" si="76"/>
        <v>281</v>
      </c>
      <c r="AM353" s="149">
        <f t="shared" si="77"/>
        <v>3231500000</v>
      </c>
      <c r="AN353" s="149" t="s">
        <v>5151</v>
      </c>
    </row>
    <row r="354" spans="17:45">
      <c r="Q354" s="99" t="s">
        <v>5199</v>
      </c>
      <c r="R354" s="95">
        <v>5649</v>
      </c>
      <c r="T354" s="19" t="s">
        <v>5681</v>
      </c>
      <c r="U354" s="19">
        <v>21663</v>
      </c>
      <c r="V354" s="117">
        <v>2308.0067819999999</v>
      </c>
      <c r="W354" s="117">
        <f t="shared" si="66"/>
        <v>49998350.918466002</v>
      </c>
      <c r="X354" s="280" t="s">
        <v>5684</v>
      </c>
      <c r="AH354" s="149">
        <v>101</v>
      </c>
      <c r="AI354" s="149" t="s">
        <v>5155</v>
      </c>
      <c r="AJ354" s="188">
        <v>250000</v>
      </c>
      <c r="AK354" s="149">
        <v>3</v>
      </c>
      <c r="AL354" s="149">
        <f t="shared" si="76"/>
        <v>279</v>
      </c>
      <c r="AM354" s="149">
        <f t="shared" si="77"/>
        <v>69750000</v>
      </c>
      <c r="AN354" s="149"/>
    </row>
    <row r="355" spans="17:45">
      <c r="Q355" s="99" t="s">
        <v>5201</v>
      </c>
      <c r="R355" s="95">
        <v>460000</v>
      </c>
      <c r="T355" s="19" t="s">
        <v>5681</v>
      </c>
      <c r="U355" s="19">
        <v>977</v>
      </c>
      <c r="V355" s="117">
        <v>2335.6821479999999</v>
      </c>
      <c r="W355" s="117">
        <f t="shared" si="66"/>
        <v>2281961.458596</v>
      </c>
      <c r="X355" s="280" t="s">
        <v>5187</v>
      </c>
      <c r="AH355" s="149">
        <v>102</v>
      </c>
      <c r="AI355" s="149" t="s">
        <v>5180</v>
      </c>
      <c r="AJ355" s="188">
        <v>6000000</v>
      </c>
      <c r="AK355" s="149">
        <v>1</v>
      </c>
      <c r="AL355" s="149">
        <f t="shared" si="76"/>
        <v>276</v>
      </c>
      <c r="AM355" s="149">
        <f t="shared" si="77"/>
        <v>1656000000</v>
      </c>
      <c r="AN355" s="149" t="s">
        <v>5151</v>
      </c>
    </row>
    <row r="356" spans="17:45">
      <c r="Q356" s="99" t="s">
        <v>5202</v>
      </c>
      <c r="R356" s="95">
        <v>1300000</v>
      </c>
      <c r="T356" s="19" t="s">
        <v>5691</v>
      </c>
      <c r="U356" s="19">
        <v>4155</v>
      </c>
      <c r="V356" s="117">
        <v>2647</v>
      </c>
      <c r="W356" s="117">
        <f t="shared" si="66"/>
        <v>10998285</v>
      </c>
      <c r="X356" s="280" t="s">
        <v>5187</v>
      </c>
      <c r="Y356" t="s">
        <v>25</v>
      </c>
      <c r="AH356" s="149">
        <v>103</v>
      </c>
      <c r="AI356" s="149" t="s">
        <v>5182</v>
      </c>
      <c r="AJ356" s="188">
        <v>1500000</v>
      </c>
      <c r="AK356" s="149">
        <v>6</v>
      </c>
      <c r="AL356" s="149">
        <f t="shared" si="76"/>
        <v>275</v>
      </c>
      <c r="AM356" s="149">
        <f t="shared" si="77"/>
        <v>412500000</v>
      </c>
      <c r="AN356" s="149" t="s">
        <v>5151</v>
      </c>
    </row>
    <row r="357" spans="17:45">
      <c r="Q357" s="99" t="s">
        <v>5202</v>
      </c>
      <c r="R357" s="95">
        <v>7300000</v>
      </c>
      <c r="T357" s="19"/>
      <c r="U357" s="19"/>
      <c r="V357" s="117"/>
      <c r="W357" s="117"/>
      <c r="X357" s="280"/>
      <c r="Y357" t="s">
        <v>25</v>
      </c>
      <c r="AH357" s="20">
        <v>104</v>
      </c>
      <c r="AI357" s="20" t="s">
        <v>972</v>
      </c>
      <c r="AJ357" s="117">
        <v>-3960043</v>
      </c>
      <c r="AK357" s="20">
        <v>2</v>
      </c>
      <c r="AL357" s="20">
        <f t="shared" si="76"/>
        <v>269</v>
      </c>
      <c r="AM357" s="20">
        <f t="shared" si="77"/>
        <v>-1065251567</v>
      </c>
      <c r="AN357" s="20"/>
    </row>
    <row r="358" spans="17:45">
      <c r="Q358" s="99" t="s">
        <v>989</v>
      </c>
      <c r="R358" s="95">
        <v>21203</v>
      </c>
      <c r="T358" s="19"/>
      <c r="U358" s="19"/>
      <c r="V358" s="117"/>
      <c r="W358" s="117"/>
      <c r="X358" s="280"/>
      <c r="Z358" t="s">
        <v>25</v>
      </c>
      <c r="AH358" s="20">
        <v>105</v>
      </c>
      <c r="AI358" s="20" t="s">
        <v>5201</v>
      </c>
      <c r="AJ358" s="117">
        <v>230000</v>
      </c>
      <c r="AK358" s="20">
        <v>0</v>
      </c>
      <c r="AL358" s="20">
        <f t="shared" si="76"/>
        <v>267</v>
      </c>
      <c r="AM358" s="20">
        <f t="shared" si="77"/>
        <v>61410000</v>
      </c>
      <c r="AN358" s="20"/>
      <c r="AS358" t="s">
        <v>25</v>
      </c>
    </row>
    <row r="359" spans="17:45">
      <c r="Q359" s="99" t="s">
        <v>4270</v>
      </c>
      <c r="R359" s="95">
        <v>34550</v>
      </c>
      <c r="T359" s="19"/>
      <c r="U359" s="19"/>
      <c r="V359" s="117"/>
      <c r="W359" s="117"/>
      <c r="X359" s="280"/>
      <c r="Y359" t="s">
        <v>25</v>
      </c>
      <c r="Z359" t="s">
        <v>25</v>
      </c>
      <c r="AA359" t="s">
        <v>25</v>
      </c>
      <c r="AH359" s="149">
        <v>106</v>
      </c>
      <c r="AI359" s="149" t="s">
        <v>5201</v>
      </c>
      <c r="AJ359" s="188">
        <v>230000</v>
      </c>
      <c r="AK359" s="149">
        <v>1</v>
      </c>
      <c r="AL359" s="149">
        <f t="shared" si="76"/>
        <v>267</v>
      </c>
      <c r="AM359" s="149">
        <f t="shared" si="77"/>
        <v>61410000</v>
      </c>
      <c r="AN359" s="149"/>
    </row>
    <row r="360" spans="17:45">
      <c r="Q360" s="99" t="s">
        <v>5200</v>
      </c>
      <c r="R360" s="95">
        <v>-2134406</v>
      </c>
      <c r="T360" s="19"/>
      <c r="U360" s="19"/>
      <c r="V360" s="117"/>
      <c r="W360" s="117"/>
      <c r="X360" s="280"/>
      <c r="Y360" t="s">
        <v>25</v>
      </c>
      <c r="AH360" s="149">
        <v>107</v>
      </c>
      <c r="AI360" s="149" t="s">
        <v>5202</v>
      </c>
      <c r="AJ360" s="188">
        <v>500000</v>
      </c>
      <c r="AK360" s="149">
        <v>1</v>
      </c>
      <c r="AL360" s="149">
        <f t="shared" si="76"/>
        <v>266</v>
      </c>
      <c r="AM360" s="149">
        <f t="shared" si="77"/>
        <v>133000000</v>
      </c>
      <c r="AN360" s="149"/>
    </row>
    <row r="361" spans="17:45">
      <c r="Q361" s="99" t="s">
        <v>5240</v>
      </c>
      <c r="R361" s="95">
        <v>-618906</v>
      </c>
      <c r="S361" t="s">
        <v>25</v>
      </c>
      <c r="T361" s="99"/>
      <c r="U361" s="168"/>
      <c r="V361" s="113"/>
      <c r="W361" s="113"/>
      <c r="X361" s="99"/>
      <c r="Y361" t="s">
        <v>25</v>
      </c>
      <c r="AA361" t="s">
        <v>25</v>
      </c>
      <c r="AH361" s="20">
        <v>108</v>
      </c>
      <c r="AI361" s="20" t="s">
        <v>5205</v>
      </c>
      <c r="AJ361" s="117">
        <v>-880000</v>
      </c>
      <c r="AK361" s="20">
        <v>4</v>
      </c>
      <c r="AL361" s="20">
        <f t="shared" si="76"/>
        <v>265</v>
      </c>
      <c r="AM361" s="20">
        <f t="shared" si="77"/>
        <v>-233200000</v>
      </c>
      <c r="AN361" s="20"/>
    </row>
    <row r="362" spans="17:45">
      <c r="Q362" s="99" t="s">
        <v>5243</v>
      </c>
      <c r="R362" s="95">
        <v>-54615</v>
      </c>
      <c r="T362" s="168"/>
      <c r="U362" s="168">
        <f>SUM(U167:U361)</f>
        <v>3678599</v>
      </c>
      <c r="V362" s="99"/>
      <c r="W362" s="99"/>
      <c r="X362" s="99"/>
      <c r="Y362" t="s">
        <v>25</v>
      </c>
      <c r="AH362" s="195">
        <v>109</v>
      </c>
      <c r="AI362" s="195" t="s">
        <v>5210</v>
      </c>
      <c r="AJ362" s="196">
        <v>873000</v>
      </c>
      <c r="AK362" s="195">
        <v>0</v>
      </c>
      <c r="AL362" s="195">
        <f t="shared" si="76"/>
        <v>261</v>
      </c>
      <c r="AM362" s="195">
        <f t="shared" si="77"/>
        <v>227853000</v>
      </c>
      <c r="AN362" s="195" t="s">
        <v>5151</v>
      </c>
    </row>
    <row r="363" spans="17:45">
      <c r="Q363" s="99" t="s">
        <v>5288</v>
      </c>
      <c r="R363" s="95">
        <v>18000000</v>
      </c>
      <c r="T363" s="99"/>
      <c r="U363" s="99" t="s">
        <v>6</v>
      </c>
      <c r="V363" s="99"/>
      <c r="W363" s="99"/>
      <c r="X363" s="99"/>
      <c r="AH363" s="20">
        <v>110</v>
      </c>
      <c r="AI363" s="20" t="s">
        <v>5210</v>
      </c>
      <c r="AJ363" s="117">
        <v>127000</v>
      </c>
      <c r="AK363" s="20">
        <v>0</v>
      </c>
      <c r="AL363" s="20">
        <f t="shared" si="76"/>
        <v>261</v>
      </c>
      <c r="AM363" s="20">
        <f t="shared" si="77"/>
        <v>33147000</v>
      </c>
      <c r="AN363" s="20" t="s">
        <v>5151</v>
      </c>
    </row>
    <row r="364" spans="17:45">
      <c r="Q364" s="99" t="s">
        <v>5340</v>
      </c>
      <c r="R364" s="95">
        <v>20000000</v>
      </c>
      <c r="T364" s="200" t="s">
        <v>4465</v>
      </c>
      <c r="AB364" t="s">
        <v>25</v>
      </c>
      <c r="AH364" s="20">
        <v>111</v>
      </c>
      <c r="AI364" s="20" t="s">
        <v>5210</v>
      </c>
      <c r="AJ364" s="117">
        <v>73000</v>
      </c>
      <c r="AK364" s="20">
        <v>1</v>
      </c>
      <c r="AL364" s="20">
        <f t="shared" si="76"/>
        <v>261</v>
      </c>
      <c r="AM364" s="20">
        <f t="shared" si="77"/>
        <v>19053000</v>
      </c>
      <c r="AN364" s="20"/>
    </row>
    <row r="365" spans="17:45">
      <c r="Q365" s="99" t="s">
        <v>5350</v>
      </c>
      <c r="R365" s="95">
        <v>27694196</v>
      </c>
      <c r="T365" s="199">
        <f>R183/U362</f>
        <v>2703.2235271090981</v>
      </c>
      <c r="Y365" t="s">
        <v>25</v>
      </c>
      <c r="AH365" s="20">
        <v>112</v>
      </c>
      <c r="AI365" s="20" t="s">
        <v>989</v>
      </c>
      <c r="AJ365" s="117">
        <v>4300000</v>
      </c>
      <c r="AK365" s="20">
        <v>1</v>
      </c>
      <c r="AL365" s="20">
        <f t="shared" si="76"/>
        <v>260</v>
      </c>
      <c r="AM365" s="20">
        <f t="shared" si="77"/>
        <v>1118000000</v>
      </c>
      <c r="AN365" s="20"/>
    </row>
    <row r="366" spans="17:45">
      <c r="Q366" s="99" t="s">
        <v>5429</v>
      </c>
      <c r="R366" s="95">
        <v>7211722</v>
      </c>
      <c r="W366" s="114"/>
      <c r="Y366" t="s">
        <v>25</v>
      </c>
      <c r="AH366" s="20">
        <v>113</v>
      </c>
      <c r="AI366" s="20" t="s">
        <v>5077</v>
      </c>
      <c r="AJ366" s="117">
        <v>1600000</v>
      </c>
      <c r="AK366" s="20">
        <v>0</v>
      </c>
      <c r="AL366" s="20">
        <f t="shared" si="76"/>
        <v>259</v>
      </c>
      <c r="AM366" s="20">
        <f t="shared" si="77"/>
        <v>414400000</v>
      </c>
      <c r="AN366" s="20"/>
    </row>
    <row r="367" spans="17:45">
      <c r="Q367" s="99" t="s">
        <v>5430</v>
      </c>
      <c r="R367" s="95">
        <v>8481864</v>
      </c>
      <c r="U367" s="96" t="s">
        <v>267</v>
      </c>
      <c r="V367" t="s">
        <v>4466</v>
      </c>
      <c r="X367">
        <v>137360</v>
      </c>
      <c r="Y367" t="s">
        <v>25</v>
      </c>
      <c r="AH367" s="20">
        <v>114</v>
      </c>
      <c r="AI367" s="20" t="s">
        <v>4270</v>
      </c>
      <c r="AJ367" s="117">
        <v>-10000000</v>
      </c>
      <c r="AK367" s="20">
        <v>1</v>
      </c>
      <c r="AL367" s="20">
        <f t="shared" si="76"/>
        <v>259</v>
      </c>
      <c r="AM367" s="20">
        <f t="shared" si="77"/>
        <v>-2590000000</v>
      </c>
      <c r="AN367" s="20" t="s">
        <v>5217</v>
      </c>
    </row>
    <row r="368" spans="17:45">
      <c r="Q368" s="99" t="s">
        <v>5438</v>
      </c>
      <c r="R368" s="95">
        <v>1558697</v>
      </c>
      <c r="T368" s="114"/>
      <c r="U368" s="95">
        <v>-10998778</v>
      </c>
      <c r="V368">
        <f>U368/T365</f>
        <v>-4068.7637887505357</v>
      </c>
      <c r="X368">
        <v>102146</v>
      </c>
      <c r="AH368" s="20">
        <v>115</v>
      </c>
      <c r="AI368" s="20" t="s">
        <v>5216</v>
      </c>
      <c r="AJ368" s="117">
        <v>571000</v>
      </c>
      <c r="AK368" s="20">
        <v>4</v>
      </c>
      <c r="AL368" s="20">
        <f t="shared" si="76"/>
        <v>258</v>
      </c>
      <c r="AM368" s="20">
        <f t="shared" si="77"/>
        <v>147318000</v>
      </c>
      <c r="AN368" s="20"/>
    </row>
    <row r="369" spans="17:45">
      <c r="Q369" s="99" t="s">
        <v>5443</v>
      </c>
      <c r="R369" s="95">
        <v>9042009</v>
      </c>
      <c r="T369" t="s">
        <v>25</v>
      </c>
      <c r="X369">
        <f>X367+X368</f>
        <v>239506</v>
      </c>
      <c r="AH369" s="20">
        <v>116</v>
      </c>
      <c r="AI369" s="20" t="s">
        <v>5218</v>
      </c>
      <c r="AJ369" s="117">
        <v>200000</v>
      </c>
      <c r="AK369" s="20">
        <v>3</v>
      </c>
      <c r="AL369" s="20">
        <f t="shared" ref="AL369:AL380" si="78">AK369+AL370</f>
        <v>254</v>
      </c>
      <c r="AM369" s="20">
        <f t="shared" ref="AM369:AM380" si="79">AJ369*AL369</f>
        <v>50800000</v>
      </c>
      <c r="AN369" s="20"/>
    </row>
    <row r="370" spans="17:45" ht="30">
      <c r="Q370" s="99" t="s">
        <v>5444</v>
      </c>
      <c r="R370" s="95">
        <v>94969</v>
      </c>
      <c r="V370" s="22" t="s">
        <v>5209</v>
      </c>
      <c r="W370" s="223"/>
      <c r="X370" s="96">
        <f>X369/2</f>
        <v>119753</v>
      </c>
      <c r="AH370" s="149">
        <v>117</v>
      </c>
      <c r="AI370" s="149" t="s">
        <v>5225</v>
      </c>
      <c r="AJ370" s="188">
        <v>50000</v>
      </c>
      <c r="AK370" s="149">
        <v>7</v>
      </c>
      <c r="AL370" s="149">
        <f t="shared" si="78"/>
        <v>251</v>
      </c>
      <c r="AM370" s="149">
        <f t="shared" si="79"/>
        <v>12550000</v>
      </c>
      <c r="AN370" s="149"/>
    </row>
    <row r="371" spans="17:45">
      <c r="Q371" s="99" t="s">
        <v>5450</v>
      </c>
      <c r="R371" s="95">
        <v>40000000</v>
      </c>
      <c r="W371" s="96" t="s">
        <v>25</v>
      </c>
      <c r="X371">
        <f>X367-X370</f>
        <v>17607</v>
      </c>
      <c r="AH371" s="20">
        <v>118</v>
      </c>
      <c r="AI371" s="20" t="s">
        <v>5233</v>
      </c>
      <c r="AJ371" s="117">
        <v>-500000</v>
      </c>
      <c r="AK371" s="20">
        <v>12</v>
      </c>
      <c r="AL371" s="20">
        <f t="shared" si="78"/>
        <v>244</v>
      </c>
      <c r="AM371" s="20">
        <f t="shared" si="79"/>
        <v>-122000000</v>
      </c>
      <c r="AN371" s="20"/>
    </row>
    <row r="372" spans="17:45">
      <c r="Q372" s="99" t="s">
        <v>5450</v>
      </c>
      <c r="R372" s="95">
        <v>2806274</v>
      </c>
      <c r="X372">
        <f>X368-X370</f>
        <v>-17607</v>
      </c>
      <c r="AH372" s="149">
        <v>119</v>
      </c>
      <c r="AI372" s="149" t="s">
        <v>988</v>
      </c>
      <c r="AJ372" s="188">
        <v>-50000</v>
      </c>
      <c r="AK372" s="149">
        <v>0</v>
      </c>
      <c r="AL372" s="149">
        <f t="shared" si="78"/>
        <v>232</v>
      </c>
      <c r="AM372" s="149">
        <f t="shared" si="79"/>
        <v>-11600000</v>
      </c>
      <c r="AN372" s="149"/>
      <c r="AR372" t="s">
        <v>25</v>
      </c>
    </row>
    <row r="373" spans="17:45" ht="60">
      <c r="Q373" s="99" t="s">
        <v>5451</v>
      </c>
      <c r="R373" s="95">
        <v>1331702</v>
      </c>
      <c r="T373" s="22" t="s">
        <v>4449</v>
      </c>
      <c r="V373" s="223">
        <v>40530</v>
      </c>
      <c r="X373">
        <f>110+81.8</f>
        <v>191.8</v>
      </c>
      <c r="AH373" s="20">
        <v>120</v>
      </c>
      <c r="AI373" s="20" t="s">
        <v>988</v>
      </c>
      <c r="AJ373" s="117">
        <v>-50000</v>
      </c>
      <c r="AK373" s="20">
        <v>28</v>
      </c>
      <c r="AL373" s="20">
        <f t="shared" si="78"/>
        <v>232</v>
      </c>
      <c r="AM373" s="20">
        <f t="shared" si="79"/>
        <v>-11600000</v>
      </c>
      <c r="AN373" s="20"/>
    </row>
    <row r="374" spans="17:45" ht="45">
      <c r="Q374" s="99" t="s">
        <v>5460</v>
      </c>
      <c r="R374" s="95">
        <v>851238</v>
      </c>
      <c r="T374" s="22" t="s">
        <v>4450</v>
      </c>
      <c r="V374">
        <v>43325</v>
      </c>
      <c r="W374" s="290">
        <f>V374-V373</f>
        <v>2795</v>
      </c>
      <c r="X374">
        <f>X373/2</f>
        <v>95.9</v>
      </c>
      <c r="AH374" s="20">
        <v>121</v>
      </c>
      <c r="AI374" s="20" t="s">
        <v>5277</v>
      </c>
      <c r="AJ374" s="117">
        <v>-3020625</v>
      </c>
      <c r="AK374" s="20">
        <v>18</v>
      </c>
      <c r="AL374" s="20">
        <f t="shared" si="78"/>
        <v>204</v>
      </c>
      <c r="AM374" s="20">
        <f t="shared" si="79"/>
        <v>-616207500</v>
      </c>
      <c r="AN374" s="20"/>
      <c r="AS374" t="s">
        <v>25</v>
      </c>
    </row>
    <row r="375" spans="17:45">
      <c r="Q375" s="99" t="s">
        <v>5502</v>
      </c>
      <c r="R375" s="95">
        <v>652592</v>
      </c>
      <c r="AH375" s="20">
        <v>122</v>
      </c>
      <c r="AI375" s="20" t="s">
        <v>5288</v>
      </c>
      <c r="AJ375" s="117">
        <v>18000000</v>
      </c>
      <c r="AK375" s="20">
        <v>19</v>
      </c>
      <c r="AL375" s="20">
        <f t="shared" si="78"/>
        <v>186</v>
      </c>
      <c r="AM375" s="20">
        <f t="shared" si="79"/>
        <v>3348000000</v>
      </c>
      <c r="AN375" s="20"/>
    </row>
    <row r="376" spans="17:45">
      <c r="Q376" s="99" t="s">
        <v>5573</v>
      </c>
      <c r="R376" s="95">
        <v>554139</v>
      </c>
      <c r="AH376" s="20">
        <v>123</v>
      </c>
      <c r="AI376" s="20" t="s">
        <v>5317</v>
      </c>
      <c r="AJ376" s="117">
        <v>2000000</v>
      </c>
      <c r="AK376" s="20">
        <v>6</v>
      </c>
      <c r="AL376" s="20">
        <f t="shared" si="78"/>
        <v>167</v>
      </c>
      <c r="AM376" s="20">
        <f t="shared" si="79"/>
        <v>334000000</v>
      </c>
      <c r="AN376" s="20"/>
    </row>
    <row r="377" spans="17:45">
      <c r="Q377" s="99" t="s">
        <v>5574</v>
      </c>
      <c r="R377" s="95">
        <v>70373089</v>
      </c>
      <c r="T377" s="99" t="s">
        <v>4467</v>
      </c>
      <c r="U377" s="99" t="s">
        <v>4444</v>
      </c>
      <c r="V377" s="99" t="s">
        <v>950</v>
      </c>
      <c r="W377" s="74"/>
      <c r="Y377" t="s">
        <v>25</v>
      </c>
      <c r="AH377" s="149">
        <v>124</v>
      </c>
      <c r="AI377" s="149" t="s">
        <v>5329</v>
      </c>
      <c r="AJ377" s="188">
        <v>40000000</v>
      </c>
      <c r="AK377" s="149">
        <v>6</v>
      </c>
      <c r="AL377" s="149">
        <f t="shared" si="78"/>
        <v>161</v>
      </c>
      <c r="AM377" s="149">
        <f t="shared" si="79"/>
        <v>6440000000</v>
      </c>
      <c r="AN377" s="149"/>
      <c r="AR377" t="s">
        <v>25</v>
      </c>
    </row>
    <row r="378" spans="17:45">
      <c r="Q378" s="99" t="s">
        <v>5576</v>
      </c>
      <c r="R378" s="95">
        <v>1219655</v>
      </c>
      <c r="T378" s="95">
        <f>S227+R281+R396</f>
        <v>1035920473.534996</v>
      </c>
      <c r="U378" s="95">
        <f>R183</f>
        <v>9944075363.6000004</v>
      </c>
      <c r="V378" s="95">
        <f>U378-T378</f>
        <v>8908154890.0650043</v>
      </c>
      <c r="AH378" s="20">
        <v>125</v>
      </c>
      <c r="AI378" s="20" t="s">
        <v>5340</v>
      </c>
      <c r="AJ378" s="117">
        <v>200000</v>
      </c>
      <c r="AK378" s="20">
        <v>0</v>
      </c>
      <c r="AL378" s="20">
        <f t="shared" si="78"/>
        <v>155</v>
      </c>
      <c r="AM378" s="20">
        <f t="shared" si="79"/>
        <v>31000000</v>
      </c>
      <c r="AN378" s="20"/>
    </row>
    <row r="379" spans="17:45">
      <c r="Q379" s="99" t="s">
        <v>5577</v>
      </c>
      <c r="R379" s="95">
        <v>15350146</v>
      </c>
      <c r="AH379" s="149">
        <v>126</v>
      </c>
      <c r="AI379" s="149" t="s">
        <v>5340</v>
      </c>
      <c r="AJ379" s="188">
        <v>200000</v>
      </c>
      <c r="AK379" s="149">
        <v>1</v>
      </c>
      <c r="AL379" s="149">
        <f t="shared" si="78"/>
        <v>155</v>
      </c>
      <c r="AM379" s="149">
        <f t="shared" si="79"/>
        <v>31000000</v>
      </c>
      <c r="AN379" s="149"/>
    </row>
    <row r="380" spans="17:45">
      <c r="Q380" s="99" t="s">
        <v>5579</v>
      </c>
      <c r="R380" s="95">
        <v>121018</v>
      </c>
      <c r="AH380" s="20">
        <v>127</v>
      </c>
      <c r="AI380" s="20" t="s">
        <v>5344</v>
      </c>
      <c r="AJ380" s="117">
        <v>50000</v>
      </c>
      <c r="AK380" s="20">
        <v>4</v>
      </c>
      <c r="AL380" s="20">
        <f t="shared" si="78"/>
        <v>154</v>
      </c>
      <c r="AM380" s="20">
        <f t="shared" si="79"/>
        <v>7700000</v>
      </c>
      <c r="AN380" s="20"/>
    </row>
    <row r="381" spans="17:45">
      <c r="Q381" s="99" t="s">
        <v>5583</v>
      </c>
      <c r="R381" s="95">
        <v>1024993</v>
      </c>
      <c r="T381" s="117"/>
      <c r="V381" s="114">
        <f>(444000000+2500000)*2/3</f>
        <v>297666666.66666669</v>
      </c>
      <c r="AH381" s="20">
        <v>128</v>
      </c>
      <c r="AI381" s="20" t="s">
        <v>5347</v>
      </c>
      <c r="AJ381" s="117">
        <v>100000</v>
      </c>
      <c r="AK381" s="20">
        <v>9</v>
      </c>
      <c r="AL381" s="20">
        <f t="shared" ref="AL381:AL391" si="80">AK381+AL382</f>
        <v>150</v>
      </c>
      <c r="AM381" s="20">
        <f t="shared" ref="AM381:AM391" si="81">AJ381*AL381</f>
        <v>15000000</v>
      </c>
      <c r="AN381" s="20"/>
      <c r="AP381" t="s">
        <v>25</v>
      </c>
    </row>
    <row r="382" spans="17:45">
      <c r="Q382" s="99" t="s">
        <v>5605</v>
      </c>
      <c r="R382" s="95">
        <v>1948077</v>
      </c>
      <c r="AH382" s="20">
        <v>129</v>
      </c>
      <c r="AI382" s="20" t="s">
        <v>5365</v>
      </c>
      <c r="AJ382" s="117">
        <v>-550000</v>
      </c>
      <c r="AK382" s="20">
        <v>5</v>
      </c>
      <c r="AL382" s="20">
        <f t="shared" si="80"/>
        <v>141</v>
      </c>
      <c r="AM382" s="20">
        <f t="shared" si="81"/>
        <v>-77550000</v>
      </c>
      <c r="AN382" s="20"/>
    </row>
    <row r="383" spans="17:45">
      <c r="Q383" s="99" t="s">
        <v>5606</v>
      </c>
      <c r="R383" s="95">
        <v>50000120</v>
      </c>
      <c r="S383" t="s">
        <v>25</v>
      </c>
      <c r="T383" s="114">
        <f>W319+W320+W322+W323+W325+W326</f>
        <v>-301699041.74755996</v>
      </c>
      <c r="AH383" s="20">
        <v>130</v>
      </c>
      <c r="AI383" s="20" t="s">
        <v>5370</v>
      </c>
      <c r="AJ383" s="117">
        <v>-29686490</v>
      </c>
      <c r="AK383" s="20">
        <v>1</v>
      </c>
      <c r="AL383" s="20">
        <f t="shared" si="80"/>
        <v>136</v>
      </c>
      <c r="AM383" s="20">
        <f t="shared" si="81"/>
        <v>-4037362640</v>
      </c>
      <c r="AN383" s="20"/>
    </row>
    <row r="384" spans="17:45">
      <c r="Q384" s="99" t="s">
        <v>5607</v>
      </c>
      <c r="R384" s="95">
        <v>20000055</v>
      </c>
      <c r="T384" t="s">
        <v>25</v>
      </c>
      <c r="AH384" s="20">
        <v>131</v>
      </c>
      <c r="AI384" s="20" t="s">
        <v>5380</v>
      </c>
      <c r="AJ384" s="117">
        <v>-9000000</v>
      </c>
      <c r="AK384" s="20">
        <v>8</v>
      </c>
      <c r="AL384" s="20">
        <f t="shared" si="80"/>
        <v>135</v>
      </c>
      <c r="AM384" s="20">
        <f t="shared" si="81"/>
        <v>-1215000000</v>
      </c>
      <c r="AN384" s="20"/>
    </row>
    <row r="385" spans="16:45">
      <c r="Q385" s="99" t="s">
        <v>5644</v>
      </c>
      <c r="R385" s="95">
        <v>5745697</v>
      </c>
      <c r="T385" s="114">
        <f>V381+T383</f>
        <v>-4032375.0808932781</v>
      </c>
      <c r="AH385" s="20">
        <v>132</v>
      </c>
      <c r="AI385" s="20" t="s">
        <v>5425</v>
      </c>
      <c r="AJ385" s="117">
        <v>810000</v>
      </c>
      <c r="AK385" s="20">
        <v>2</v>
      </c>
      <c r="AL385" s="20">
        <f t="shared" si="80"/>
        <v>127</v>
      </c>
      <c r="AM385" s="20">
        <f t="shared" si="81"/>
        <v>102870000</v>
      </c>
      <c r="AN385" s="20"/>
    </row>
    <row r="386" spans="16:45">
      <c r="Q386" s="99" t="s">
        <v>5645</v>
      </c>
      <c r="R386" s="95">
        <v>908158</v>
      </c>
      <c r="T386" t="s">
        <v>25</v>
      </c>
      <c r="AH386" s="20">
        <v>133</v>
      </c>
      <c r="AI386" s="20" t="s">
        <v>5430</v>
      </c>
      <c r="AJ386" s="117">
        <v>-5000000</v>
      </c>
      <c r="AK386" s="20">
        <v>3</v>
      </c>
      <c r="AL386" s="20">
        <f t="shared" si="80"/>
        <v>125</v>
      </c>
      <c r="AM386" s="20">
        <f t="shared" si="81"/>
        <v>-625000000</v>
      </c>
      <c r="AN386" s="20"/>
      <c r="AQ386" t="s">
        <v>25</v>
      </c>
    </row>
    <row r="387" spans="16:45">
      <c r="Q387" s="99" t="s">
        <v>5647</v>
      </c>
      <c r="R387" s="95">
        <v>12642697</v>
      </c>
      <c r="T387" t="s">
        <v>25</v>
      </c>
      <c r="AF387" s="96" t="s">
        <v>25</v>
      </c>
      <c r="AH387" s="20">
        <v>134</v>
      </c>
      <c r="AI387" s="20" t="s">
        <v>5438</v>
      </c>
      <c r="AJ387" s="117">
        <v>-26000000</v>
      </c>
      <c r="AK387" s="20">
        <v>0</v>
      </c>
      <c r="AL387" s="20">
        <f t="shared" si="80"/>
        <v>122</v>
      </c>
      <c r="AM387" s="20">
        <f t="shared" si="81"/>
        <v>-3172000000</v>
      </c>
      <c r="AN387" s="20"/>
    </row>
    <row r="388" spans="16:45">
      <c r="Q388" s="99" t="s">
        <v>5648</v>
      </c>
      <c r="R388" s="95">
        <v>12297317.81435</v>
      </c>
      <c r="AH388" s="256">
        <v>135</v>
      </c>
      <c r="AI388" s="256" t="s">
        <v>5438</v>
      </c>
      <c r="AJ388" s="247">
        <v>-26000000</v>
      </c>
      <c r="AK388" s="256">
        <v>1</v>
      </c>
      <c r="AL388" s="256">
        <f t="shared" si="80"/>
        <v>122</v>
      </c>
      <c r="AM388" s="256">
        <f t="shared" si="81"/>
        <v>-3172000000</v>
      </c>
      <c r="AN388" s="256"/>
      <c r="AS388" t="s">
        <v>25</v>
      </c>
    </row>
    <row r="389" spans="16:45">
      <c r="Q389" s="99" t="s">
        <v>5649</v>
      </c>
      <c r="R389" s="95">
        <v>8959643.8508579992</v>
      </c>
      <c r="AH389" s="20">
        <v>136</v>
      </c>
      <c r="AI389" s="20" t="s">
        <v>5443</v>
      </c>
      <c r="AJ389" s="117">
        <v>-81800000</v>
      </c>
      <c r="AK389" s="20">
        <v>0</v>
      </c>
      <c r="AL389" s="20">
        <f t="shared" si="80"/>
        <v>121</v>
      </c>
      <c r="AM389" s="20">
        <f t="shared" si="81"/>
        <v>-9897800000</v>
      </c>
      <c r="AN389" s="20"/>
    </row>
    <row r="390" spans="16:45">
      <c r="Q390" s="99" t="s">
        <v>5650</v>
      </c>
      <c r="R390" s="95">
        <v>15154095.839328</v>
      </c>
      <c r="T390" t="s">
        <v>25</v>
      </c>
      <c r="AH390" s="256">
        <v>137</v>
      </c>
      <c r="AI390" s="256" t="s">
        <v>5443</v>
      </c>
      <c r="AJ390" s="247">
        <v>-110000000</v>
      </c>
      <c r="AK390" s="256">
        <v>1</v>
      </c>
      <c r="AL390" s="256">
        <f t="shared" si="80"/>
        <v>121</v>
      </c>
      <c r="AM390" s="256">
        <f t="shared" si="81"/>
        <v>-13310000000</v>
      </c>
      <c r="AN390" s="256"/>
    </row>
    <row r="391" spans="16:45">
      <c r="P391" t="s">
        <v>25</v>
      </c>
      <c r="Q391" s="99" t="s">
        <v>5679</v>
      </c>
      <c r="R391" s="95">
        <v>50725508.571864001</v>
      </c>
      <c r="T391" t="s">
        <v>25</v>
      </c>
      <c r="AH391" s="20">
        <v>138</v>
      </c>
      <c r="AI391" s="20" t="s">
        <v>5444</v>
      </c>
      <c r="AJ391" s="117">
        <v>-34000000</v>
      </c>
      <c r="AK391" s="20">
        <v>0</v>
      </c>
      <c r="AL391" s="20">
        <f t="shared" si="80"/>
        <v>120</v>
      </c>
      <c r="AM391" s="20">
        <f t="shared" si="81"/>
        <v>-4080000000</v>
      </c>
      <c r="AN391" s="20"/>
    </row>
    <row r="392" spans="16:45">
      <c r="Q392" s="99" t="s">
        <v>5681</v>
      </c>
      <c r="R392" s="95">
        <v>2281961.458596</v>
      </c>
      <c r="W392" s="96" t="s">
        <v>25</v>
      </c>
      <c r="AH392" s="149">
        <v>139</v>
      </c>
      <c r="AI392" s="149" t="s">
        <v>5444</v>
      </c>
      <c r="AJ392" s="188">
        <v>-23900000</v>
      </c>
      <c r="AK392" s="149">
        <v>5</v>
      </c>
      <c r="AL392" s="149">
        <f t="shared" ref="AL392:AL397" si="82">AK392+AL393</f>
        <v>120</v>
      </c>
      <c r="AM392" s="149">
        <f t="shared" ref="AM392:AM397" si="83">AJ392*AL392</f>
        <v>-2868000000</v>
      </c>
      <c r="AN392" s="149"/>
    </row>
    <row r="393" spans="16:45">
      <c r="Q393" s="99" t="s">
        <v>5691</v>
      </c>
      <c r="R393" s="95">
        <v>10998285</v>
      </c>
      <c r="T393" t="s">
        <v>25</v>
      </c>
      <c r="AH393" s="20">
        <v>140</v>
      </c>
      <c r="AI393" s="20" t="s">
        <v>5460</v>
      </c>
      <c r="AJ393" s="117">
        <v>1000000</v>
      </c>
      <c r="AK393" s="20">
        <v>0</v>
      </c>
      <c r="AL393" s="20">
        <f t="shared" si="82"/>
        <v>115</v>
      </c>
      <c r="AM393" s="20">
        <f t="shared" si="83"/>
        <v>115000000</v>
      </c>
      <c r="AN393" s="20"/>
      <c r="AR393" t="s">
        <v>25</v>
      </c>
    </row>
    <row r="394" spans="16:45">
      <c r="Q394" s="99"/>
      <c r="R394" s="95"/>
      <c r="T394" t="s">
        <v>25</v>
      </c>
      <c r="AH394" s="149">
        <v>141</v>
      </c>
      <c r="AI394" s="149" t="s">
        <v>5460</v>
      </c>
      <c r="AJ394" s="188">
        <v>1000000</v>
      </c>
      <c r="AK394" s="149">
        <v>4</v>
      </c>
      <c r="AL394" s="149">
        <f t="shared" si="82"/>
        <v>115</v>
      </c>
      <c r="AM394" s="149">
        <f t="shared" si="83"/>
        <v>115000000</v>
      </c>
      <c r="AN394" s="149"/>
    </row>
    <row r="395" spans="16:45">
      <c r="Q395" s="99" t="s">
        <v>25</v>
      </c>
      <c r="R395" s="95"/>
      <c r="T395" t="s">
        <v>25</v>
      </c>
      <c r="AH395" s="20">
        <v>142</v>
      </c>
      <c r="AI395" s="20" t="s">
        <v>5466</v>
      </c>
      <c r="AJ395" s="117">
        <v>400000</v>
      </c>
      <c r="AK395" s="20">
        <v>0</v>
      </c>
      <c r="AL395" s="20">
        <f t="shared" si="82"/>
        <v>111</v>
      </c>
      <c r="AM395" s="20">
        <f t="shared" si="83"/>
        <v>44400000</v>
      </c>
      <c r="AN395" s="20"/>
    </row>
    <row r="396" spans="16:45">
      <c r="Q396" s="99"/>
      <c r="R396" s="95">
        <f>SUM(R286:R395)</f>
        <v>817256905.53499603</v>
      </c>
      <c r="T396" t="s">
        <v>25</v>
      </c>
      <c r="U396" s="96" t="s">
        <v>25</v>
      </c>
      <c r="V396" t="s">
        <v>25</v>
      </c>
      <c r="AH396" s="149">
        <v>143</v>
      </c>
      <c r="AI396" s="149" t="s">
        <v>5466</v>
      </c>
      <c r="AJ396" s="188">
        <v>400000</v>
      </c>
      <c r="AK396" s="149">
        <v>35</v>
      </c>
      <c r="AL396" s="149">
        <f t="shared" si="82"/>
        <v>111</v>
      </c>
      <c r="AM396" s="149">
        <f t="shared" si="83"/>
        <v>44400000</v>
      </c>
      <c r="AN396" s="149"/>
    </row>
    <row r="397" spans="16:45">
      <c r="Q397" s="99"/>
      <c r="R397" s="99" t="s">
        <v>6</v>
      </c>
      <c r="T397" t="s">
        <v>25</v>
      </c>
      <c r="AH397" s="20">
        <v>144</v>
      </c>
      <c r="AI397" s="20" t="s">
        <v>5515</v>
      </c>
      <c r="AJ397" s="117">
        <v>3000000</v>
      </c>
      <c r="AK397" s="20">
        <v>0</v>
      </c>
      <c r="AL397" s="20">
        <f t="shared" si="82"/>
        <v>76</v>
      </c>
      <c r="AM397" s="20">
        <f t="shared" si="83"/>
        <v>228000000</v>
      </c>
      <c r="AN397" s="20"/>
    </row>
    <row r="398" spans="16:45">
      <c r="T398" t="s">
        <v>25</v>
      </c>
      <c r="AH398" s="149">
        <v>145</v>
      </c>
      <c r="AI398" s="149" t="s">
        <v>5515</v>
      </c>
      <c r="AJ398" s="188">
        <v>2725000</v>
      </c>
      <c r="AK398" s="149">
        <v>19</v>
      </c>
      <c r="AL398" s="149">
        <f t="shared" ref="AL398:AL401" si="84">AK398+AL399</f>
        <v>76</v>
      </c>
      <c r="AM398" s="149">
        <f t="shared" ref="AM398:AM401" si="85">AJ398*AL398</f>
        <v>207100000</v>
      </c>
      <c r="AN398" s="149"/>
    </row>
    <row r="399" spans="16:45">
      <c r="T399" t="s">
        <v>25</v>
      </c>
      <c r="U399" s="96" t="s">
        <v>25</v>
      </c>
      <c r="V399" t="s">
        <v>25</v>
      </c>
      <c r="AH399" s="149">
        <v>146</v>
      </c>
      <c r="AI399" s="149" t="s">
        <v>5391</v>
      </c>
      <c r="AJ399" s="188">
        <v>-8644090</v>
      </c>
      <c r="AK399" s="149">
        <v>0</v>
      </c>
      <c r="AL399" s="149">
        <f t="shared" si="84"/>
        <v>57</v>
      </c>
      <c r="AM399" s="149">
        <f t="shared" si="85"/>
        <v>-492713130</v>
      </c>
      <c r="AN399" s="149" t="s">
        <v>4785</v>
      </c>
    </row>
    <row r="400" spans="16:45">
      <c r="Q400" t="s">
        <v>25</v>
      </c>
      <c r="T400" t="s">
        <v>25</v>
      </c>
      <c r="U400" s="96" t="s">
        <v>25</v>
      </c>
      <c r="AH400" s="20">
        <v>147</v>
      </c>
      <c r="AI400" s="20" t="s">
        <v>5391</v>
      </c>
      <c r="AJ400" s="117">
        <v>-65461942</v>
      </c>
      <c r="AK400" s="20">
        <v>1</v>
      </c>
      <c r="AL400" s="20">
        <f t="shared" si="84"/>
        <v>57</v>
      </c>
      <c r="AM400" s="20">
        <f t="shared" si="85"/>
        <v>-3731330694</v>
      </c>
      <c r="AN400" s="20" t="s">
        <v>4785</v>
      </c>
    </row>
    <row r="401" spans="18:45">
      <c r="U401" s="96" t="s">
        <v>25</v>
      </c>
      <c r="AD401" t="s">
        <v>25</v>
      </c>
      <c r="AH401" s="20">
        <v>148</v>
      </c>
      <c r="AI401" s="20" t="s">
        <v>5548</v>
      </c>
      <c r="AJ401" s="117">
        <v>35000000</v>
      </c>
      <c r="AK401" s="20">
        <v>15</v>
      </c>
      <c r="AL401" s="20">
        <f t="shared" si="84"/>
        <v>56</v>
      </c>
      <c r="AM401" s="20">
        <f t="shared" si="85"/>
        <v>1960000000</v>
      </c>
      <c r="AN401" s="20"/>
    </row>
    <row r="402" spans="18:45">
      <c r="T402" t="s">
        <v>25</v>
      </c>
      <c r="V402" t="s">
        <v>25</v>
      </c>
      <c r="AH402" s="149">
        <v>149</v>
      </c>
      <c r="AI402" s="149" t="s">
        <v>5579</v>
      </c>
      <c r="AJ402" s="188">
        <v>1400000</v>
      </c>
      <c r="AK402" s="149">
        <v>0</v>
      </c>
      <c r="AL402" s="149">
        <f t="shared" ref="AL402:AL404" si="86">AK402+AL403</f>
        <v>41</v>
      </c>
      <c r="AM402" s="149">
        <f t="shared" ref="AM402:AM405" si="87">AJ402*AL402</f>
        <v>57400000</v>
      </c>
      <c r="AN402" s="149"/>
      <c r="AS402" t="s">
        <v>25</v>
      </c>
    </row>
    <row r="403" spans="18:45">
      <c r="R403" t="s">
        <v>25</v>
      </c>
      <c r="T403" t="s">
        <v>25</v>
      </c>
      <c r="U403" s="96" t="s">
        <v>25</v>
      </c>
      <c r="AH403" s="20">
        <v>150</v>
      </c>
      <c r="AI403" s="20" t="s">
        <v>5579</v>
      </c>
      <c r="AJ403" s="117">
        <v>1600000</v>
      </c>
      <c r="AK403" s="20">
        <v>1</v>
      </c>
      <c r="AL403" s="20">
        <f t="shared" si="86"/>
        <v>41</v>
      </c>
      <c r="AM403" s="20">
        <f t="shared" si="87"/>
        <v>65600000</v>
      </c>
      <c r="AN403" s="20"/>
    </row>
    <row r="404" spans="18:45">
      <c r="AH404" s="149">
        <v>151</v>
      </c>
      <c r="AI404" s="149" t="s">
        <v>5582</v>
      </c>
      <c r="AJ404" s="188">
        <v>600000</v>
      </c>
      <c r="AK404" s="149">
        <v>0</v>
      </c>
      <c r="AL404" s="149">
        <f t="shared" si="86"/>
        <v>40</v>
      </c>
      <c r="AM404" s="149">
        <f t="shared" si="87"/>
        <v>24000000</v>
      </c>
      <c r="AN404" s="149" t="s">
        <v>5586</v>
      </c>
    </row>
    <row r="405" spans="18:45">
      <c r="R405" t="s">
        <v>25</v>
      </c>
      <c r="U405" s="96" t="s">
        <v>25</v>
      </c>
      <c r="AH405" s="20">
        <v>152</v>
      </c>
      <c r="AI405" s="20" t="s">
        <v>5582</v>
      </c>
      <c r="AJ405" s="117">
        <v>600000</v>
      </c>
      <c r="AK405" s="20">
        <v>9</v>
      </c>
      <c r="AL405" s="20">
        <f>AK405+AL406</f>
        <v>40</v>
      </c>
      <c r="AM405" s="20">
        <f t="shared" si="87"/>
        <v>24000000</v>
      </c>
      <c r="AN405" s="20" t="s">
        <v>5586</v>
      </c>
    </row>
    <row r="406" spans="18:45">
      <c r="AH406" s="20">
        <v>153</v>
      </c>
      <c r="AI406" s="20" t="s">
        <v>5607</v>
      </c>
      <c r="AJ406" s="117">
        <v>20000000</v>
      </c>
      <c r="AK406" s="20">
        <v>23</v>
      </c>
      <c r="AL406" s="20">
        <f t="shared" ref="AL406:AL407" si="88">AK406+AL407</f>
        <v>31</v>
      </c>
      <c r="AM406" s="20">
        <f t="shared" ref="AM406:AM408" si="89">AJ406*AL406</f>
        <v>620000000</v>
      </c>
      <c r="AN406" s="20" t="s">
        <v>5631</v>
      </c>
    </row>
    <row r="407" spans="18:45">
      <c r="AH407" s="20">
        <v>154</v>
      </c>
      <c r="AI407" s="20" t="s">
        <v>5664</v>
      </c>
      <c r="AJ407" s="117">
        <v>-46183500</v>
      </c>
      <c r="AK407" s="20">
        <v>0</v>
      </c>
      <c r="AL407" s="20">
        <f t="shared" si="88"/>
        <v>8</v>
      </c>
      <c r="AM407" s="20">
        <f t="shared" si="89"/>
        <v>-369468000</v>
      </c>
      <c r="AN407" s="20" t="s">
        <v>4917</v>
      </c>
    </row>
    <row r="408" spans="18:45">
      <c r="AH408" s="149">
        <v>155</v>
      </c>
      <c r="AI408" s="149" t="s">
        <v>5664</v>
      </c>
      <c r="AJ408" s="188">
        <v>-1812800</v>
      </c>
      <c r="AK408" s="149">
        <v>2</v>
      </c>
      <c r="AL408" s="149">
        <f>AK408+AL409</f>
        <v>8</v>
      </c>
      <c r="AM408" s="149">
        <f t="shared" si="89"/>
        <v>-14502400</v>
      </c>
      <c r="AN408" s="149" t="s">
        <v>4917</v>
      </c>
    </row>
    <row r="409" spans="18:45">
      <c r="AH409" s="20">
        <v>156</v>
      </c>
      <c r="AI409" s="20" t="s">
        <v>5669</v>
      </c>
      <c r="AJ409" s="117">
        <v>90000</v>
      </c>
      <c r="AK409" s="20">
        <v>0</v>
      </c>
      <c r="AL409" s="20">
        <f t="shared" ref="AL409:AL428" si="90">AK409+AL410</f>
        <v>6</v>
      </c>
      <c r="AM409" s="20">
        <f t="shared" ref="AM409:AM428" si="91">AJ409*AL409</f>
        <v>540000</v>
      </c>
      <c r="AN409" s="20"/>
    </row>
    <row r="410" spans="18:45">
      <c r="AH410" s="149">
        <v>157</v>
      </c>
      <c r="AI410" s="149" t="s">
        <v>5669</v>
      </c>
      <c r="AJ410" s="188">
        <v>60000</v>
      </c>
      <c r="AK410" s="149">
        <v>5</v>
      </c>
      <c r="AL410" s="149">
        <f t="shared" si="90"/>
        <v>6</v>
      </c>
      <c r="AM410" s="149">
        <f t="shared" si="91"/>
        <v>360000</v>
      </c>
      <c r="AN410" s="149"/>
    </row>
    <row r="411" spans="18:45">
      <c r="AH411" s="20">
        <v>158</v>
      </c>
      <c r="AI411" s="20" t="s">
        <v>5681</v>
      </c>
      <c r="AJ411" s="117">
        <v>50000000</v>
      </c>
      <c r="AK411" s="20">
        <v>1</v>
      </c>
      <c r="AL411" s="20">
        <f t="shared" si="90"/>
        <v>1</v>
      </c>
      <c r="AM411" s="20">
        <f t="shared" si="91"/>
        <v>50000000</v>
      </c>
      <c r="AN411" s="20" t="s">
        <v>5683</v>
      </c>
    </row>
    <row r="412" spans="18:45">
      <c r="AH412" s="20"/>
      <c r="AI412" s="20"/>
      <c r="AJ412" s="117"/>
      <c r="AK412" s="20"/>
      <c r="AL412" s="20">
        <f t="shared" si="90"/>
        <v>0</v>
      </c>
      <c r="AM412" s="20">
        <f t="shared" si="91"/>
        <v>0</v>
      </c>
      <c r="AN412" s="20"/>
    </row>
    <row r="413" spans="18:45">
      <c r="AH413" s="20"/>
      <c r="AI413" s="20"/>
      <c r="AJ413" s="117"/>
      <c r="AK413" s="20"/>
      <c r="AL413" s="20">
        <f t="shared" si="90"/>
        <v>0</v>
      </c>
      <c r="AM413" s="20">
        <f t="shared" si="91"/>
        <v>0</v>
      </c>
      <c r="AN413" s="20"/>
      <c r="AR413" t="s">
        <v>25</v>
      </c>
    </row>
    <row r="414" spans="18:45">
      <c r="AH414" s="20"/>
      <c r="AI414" s="20"/>
      <c r="AJ414" s="117"/>
      <c r="AK414" s="20"/>
      <c r="AL414" s="20">
        <f t="shared" si="90"/>
        <v>0</v>
      </c>
      <c r="AM414" s="20">
        <f t="shared" si="91"/>
        <v>0</v>
      </c>
      <c r="AN414" s="20"/>
    </row>
    <row r="415" spans="18:45">
      <c r="AH415" s="20"/>
      <c r="AI415" s="20"/>
      <c r="AJ415" s="117"/>
      <c r="AK415" s="20"/>
      <c r="AL415" s="20">
        <f t="shared" si="90"/>
        <v>0</v>
      </c>
      <c r="AM415" s="20">
        <f t="shared" si="91"/>
        <v>0</v>
      </c>
      <c r="AN415" s="20"/>
      <c r="AS415" t="s">
        <v>25</v>
      </c>
    </row>
    <row r="416" spans="18:45">
      <c r="AH416" s="20"/>
      <c r="AI416" s="20"/>
      <c r="AJ416" s="117"/>
      <c r="AK416" s="20"/>
      <c r="AL416" s="20">
        <f t="shared" si="90"/>
        <v>0</v>
      </c>
      <c r="AM416" s="20">
        <f t="shared" si="91"/>
        <v>0</v>
      </c>
      <c r="AN416" s="20"/>
    </row>
    <row r="417" spans="34:45">
      <c r="AH417" s="20"/>
      <c r="AI417" s="20"/>
      <c r="AJ417" s="117"/>
      <c r="AK417" s="20"/>
      <c r="AL417" s="20">
        <f t="shared" si="90"/>
        <v>0</v>
      </c>
      <c r="AM417" s="20">
        <f t="shared" si="91"/>
        <v>0</v>
      </c>
      <c r="AN417" s="20"/>
      <c r="AR417" t="s">
        <v>25</v>
      </c>
      <c r="AS417" t="s">
        <v>25</v>
      </c>
    </row>
    <row r="418" spans="34:45">
      <c r="AH418" s="20"/>
      <c r="AI418" s="20"/>
      <c r="AJ418" s="117"/>
      <c r="AK418" s="20"/>
      <c r="AL418" s="20">
        <f t="shared" si="90"/>
        <v>0</v>
      </c>
      <c r="AM418" s="20">
        <f t="shared" si="91"/>
        <v>0</v>
      </c>
      <c r="AN418" s="20"/>
    </row>
    <row r="419" spans="34:45">
      <c r="AH419" s="20"/>
      <c r="AI419" s="20"/>
      <c r="AJ419" s="117"/>
      <c r="AK419" s="20"/>
      <c r="AL419" s="20">
        <f t="shared" si="90"/>
        <v>0</v>
      </c>
      <c r="AM419" s="20">
        <f t="shared" si="91"/>
        <v>0</v>
      </c>
      <c r="AN419" s="20"/>
    </row>
    <row r="420" spans="34:45">
      <c r="AH420" s="20"/>
      <c r="AI420" s="20"/>
      <c r="AJ420" s="117"/>
      <c r="AK420" s="20"/>
      <c r="AL420" s="20">
        <f t="shared" si="90"/>
        <v>0</v>
      </c>
      <c r="AM420" s="20">
        <f t="shared" si="91"/>
        <v>0</v>
      </c>
      <c r="AN420" s="20"/>
      <c r="AR420" t="s">
        <v>25</v>
      </c>
    </row>
    <row r="421" spans="34:45">
      <c r="AH421" s="20"/>
      <c r="AI421" s="20"/>
      <c r="AJ421" s="117"/>
      <c r="AK421" s="20"/>
      <c r="AL421" s="20">
        <f t="shared" si="90"/>
        <v>0</v>
      </c>
      <c r="AM421" s="20">
        <f t="shared" si="91"/>
        <v>0</v>
      </c>
      <c r="AN421" s="20"/>
    </row>
    <row r="422" spans="34:45">
      <c r="AH422" s="20"/>
      <c r="AI422" s="20"/>
      <c r="AJ422" s="117"/>
      <c r="AK422" s="20"/>
      <c r="AL422" s="20">
        <f t="shared" si="90"/>
        <v>0</v>
      </c>
      <c r="AM422" s="20">
        <f t="shared" si="91"/>
        <v>0</v>
      </c>
      <c r="AN422" s="20"/>
    </row>
    <row r="423" spans="34:45">
      <c r="AH423" s="20"/>
      <c r="AI423" s="20"/>
      <c r="AJ423" s="117"/>
      <c r="AK423" s="20"/>
      <c r="AL423" s="20">
        <f t="shared" si="90"/>
        <v>0</v>
      </c>
      <c r="AM423" s="20">
        <f t="shared" si="91"/>
        <v>0</v>
      </c>
      <c r="AN423" s="20"/>
    </row>
    <row r="424" spans="34:45">
      <c r="AH424" s="20"/>
      <c r="AI424" s="20"/>
      <c r="AJ424" s="117"/>
      <c r="AK424" s="20"/>
      <c r="AL424" s="20">
        <f t="shared" si="90"/>
        <v>0</v>
      </c>
      <c r="AM424" s="20">
        <f t="shared" si="91"/>
        <v>0</v>
      </c>
      <c r="AN424" s="20"/>
    </row>
    <row r="425" spans="34:45">
      <c r="AH425" s="20"/>
      <c r="AI425" s="20"/>
      <c r="AJ425" s="117"/>
      <c r="AK425" s="20"/>
      <c r="AL425" s="20">
        <f t="shared" si="90"/>
        <v>0</v>
      </c>
      <c r="AM425" s="20">
        <f t="shared" si="91"/>
        <v>0</v>
      </c>
      <c r="AN425" s="20"/>
    </row>
    <row r="426" spans="34:45">
      <c r="AH426" s="20"/>
      <c r="AI426" s="20"/>
      <c r="AJ426" s="117"/>
      <c r="AK426" s="20"/>
      <c r="AL426" s="20">
        <f t="shared" si="90"/>
        <v>0</v>
      </c>
      <c r="AM426" s="20">
        <f t="shared" si="91"/>
        <v>0</v>
      </c>
      <c r="AN426" s="20"/>
    </row>
    <row r="427" spans="34:45">
      <c r="AH427" s="99"/>
      <c r="AI427" s="99"/>
      <c r="AJ427" s="117"/>
      <c r="AK427" s="99"/>
      <c r="AL427" s="20">
        <f t="shared" si="90"/>
        <v>0</v>
      </c>
      <c r="AM427" s="20">
        <f t="shared" si="91"/>
        <v>0</v>
      </c>
      <c r="AN427" s="20"/>
    </row>
    <row r="428" spans="34:45">
      <c r="AH428" s="99"/>
      <c r="AI428" s="99"/>
      <c r="AJ428" s="117"/>
      <c r="AK428" s="99"/>
      <c r="AL428" s="20">
        <f t="shared" si="90"/>
        <v>0</v>
      </c>
      <c r="AM428" s="20">
        <f t="shared" si="91"/>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3789563445.1999998</v>
      </c>
    </row>
    <row r="434" spans="35:40">
      <c r="AI434" t="s">
        <v>4132</v>
      </c>
      <c r="AJ434" s="114">
        <f>AJ433-AJ429</f>
        <v>3629300040.1999998</v>
      </c>
    </row>
    <row r="435" spans="35:40">
      <c r="AI435" t="s">
        <v>940</v>
      </c>
      <c r="AJ435" s="114">
        <f>AN429</f>
        <v>93151500.185754627</v>
      </c>
    </row>
    <row r="436" spans="35:40">
      <c r="AI436" t="s">
        <v>4061</v>
      </c>
      <c r="AJ436" s="114">
        <f>AJ434-AJ435</f>
        <v>3536148540.014245</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99 G124 S66 P28:P29 S116 P23 S38 S40 S125 S130 S43 S128 S13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95" zoomScale="85" zoomScaleNormal="85" workbookViewId="0">
      <selection activeCell="C123" sqref="C12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5681</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5691</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t="s">
        <v>25</v>
      </c>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f>C123</f>
        <v>1600</v>
      </c>
      <c r="D95" s="293">
        <v>1</v>
      </c>
      <c r="E95" s="62" t="s">
        <v>4378</v>
      </c>
      <c r="F95" s="51">
        <f>C125</f>
        <v>17100</v>
      </c>
      <c r="G95" s="293">
        <f>C95*D95*0.99025/(F95*1.0046399)</f>
        <v>9.2227046487237799E-2</v>
      </c>
      <c r="H95" s="294">
        <f>C95/F95</f>
        <v>9.3567251461988299E-2</v>
      </c>
      <c r="I95" s="311">
        <f>F95/C95</f>
        <v>10.6875</v>
      </c>
      <c r="J95" s="99"/>
      <c r="K95" s="99">
        <f>H95/H88</f>
        <v>1.0270702393702338</v>
      </c>
      <c r="L95" s="99">
        <f>(1/K95-1.03)*100</f>
        <v>-5.6356755684822897</v>
      </c>
      <c r="M95" s="99"/>
      <c r="N95" s="99"/>
      <c r="O95" s="96"/>
      <c r="P95" s="96"/>
      <c r="Q95" s="96"/>
      <c r="R95" s="99"/>
      <c r="S95" s="99" t="s">
        <v>4382</v>
      </c>
      <c r="T95" s="99">
        <v>874</v>
      </c>
      <c r="U95" s="117">
        <v>6337102</v>
      </c>
      <c r="V95" s="117">
        <f>U95/T95</f>
        <v>7250.6887871853551</v>
      </c>
      <c r="W95" s="117">
        <f>V95*1.01</f>
        <v>7323.195675057209</v>
      </c>
      <c r="X95" s="99">
        <f>'برنامه 5 ساله'!P48</f>
        <v>18326.2</v>
      </c>
      <c r="Y95" s="117">
        <f>T95*X95</f>
        <v>16017098.800000001</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1588</v>
      </c>
      <c r="Y96" s="117">
        <f>T96*X96</f>
        <v>468460000</v>
      </c>
    </row>
    <row r="97" spans="1:27" ht="18.75">
      <c r="A97" s="293" t="s">
        <v>5511</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5512</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19">H98/H97</f>
        <v>1.0495427584799433</v>
      </c>
      <c r="L98" s="99"/>
      <c r="M98" s="99"/>
      <c r="N98" s="99"/>
      <c r="R98" s="99" t="s">
        <v>5487</v>
      </c>
      <c r="S98" s="99" t="s">
        <v>5384</v>
      </c>
      <c r="T98" s="99">
        <v>0</v>
      </c>
      <c r="U98" s="117">
        <v>683292</v>
      </c>
      <c r="V98" s="117"/>
      <c r="W98" s="117"/>
      <c r="X98" s="99">
        <f>'برنامه 5 ساله'!P49</f>
        <v>772.2</v>
      </c>
      <c r="Y98" s="117">
        <f>U98</f>
        <v>683292</v>
      </c>
    </row>
    <row r="99" spans="1:27" ht="18.75">
      <c r="A99" s="293" t="s">
        <v>5523</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19"/>
        <v>1.0254941405969848</v>
      </c>
      <c r="L99" s="99" t="s">
        <v>25</v>
      </c>
      <c r="M99" s="99"/>
      <c r="N99" s="99"/>
      <c r="R99" s="99" t="s">
        <v>5487</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19"/>
        <v>1.001535481697732</v>
      </c>
      <c r="L100" s="99"/>
      <c r="M100" s="99"/>
      <c r="N100" s="99"/>
      <c r="R100" s="99"/>
      <c r="S100" s="99"/>
      <c r="T100" s="99"/>
      <c r="U100" s="117"/>
      <c r="V100" s="117"/>
      <c r="W100" s="99"/>
      <c r="X100" s="99"/>
      <c r="Y100" s="99"/>
    </row>
    <row r="101" spans="1:27" ht="18.75">
      <c r="A101" s="293" t="s">
        <v>5515</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19"/>
        <v>1.0001280901754834</v>
      </c>
      <c r="L101" s="99"/>
      <c r="M101" s="99"/>
      <c r="N101" s="99"/>
      <c r="R101" s="99"/>
      <c r="S101" s="99"/>
      <c r="T101" s="99"/>
      <c r="U101" s="117"/>
      <c r="V101" s="117"/>
      <c r="W101" s="99"/>
      <c r="X101" s="99"/>
      <c r="Y101" s="99"/>
    </row>
    <row r="102" spans="1:27" ht="18.75">
      <c r="A102" s="293" t="s">
        <v>5523</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19"/>
        <v>1.0002301784374457</v>
      </c>
      <c r="L102" s="99"/>
      <c r="M102" s="99" t="s">
        <v>25</v>
      </c>
      <c r="N102" s="99"/>
      <c r="R102" s="99"/>
      <c r="S102" s="99"/>
      <c r="T102" s="99"/>
      <c r="U102" s="117">
        <v>159900000</v>
      </c>
      <c r="V102" s="117"/>
      <c r="W102" s="99"/>
      <c r="X102" s="99"/>
      <c r="Y102" s="95">
        <f>SUM(Y95:Y99)</f>
        <v>492841359.80000001</v>
      </c>
    </row>
    <row r="103" spans="1:27" ht="18.75">
      <c r="A103" s="293" t="s">
        <v>5579</v>
      </c>
      <c r="B103" s="293" t="s">
        <v>4233</v>
      </c>
      <c r="C103" s="295">
        <v>864.7</v>
      </c>
      <c r="D103" s="293">
        <v>10000</v>
      </c>
      <c r="E103" s="291" t="s">
        <v>4382</v>
      </c>
      <c r="F103" s="292">
        <v>10794</v>
      </c>
      <c r="G103" s="300">
        <f t="shared" ref="G103" si="20">C103*D103*0.99025/(F103*1.0046399)</f>
        <v>789.6187890074915</v>
      </c>
      <c r="H103" s="302">
        <f t="shared" ref="H103" si="21">C103/F103</f>
        <v>8.0109319992588482E-2</v>
      </c>
      <c r="I103" s="311">
        <f t="shared" ref="I103" si="22">F103/C103</f>
        <v>12.482942060830345</v>
      </c>
      <c r="J103" s="99" t="s">
        <v>452</v>
      </c>
      <c r="K103" s="313">
        <f t="shared" si="19"/>
        <v>0.99819530270911117</v>
      </c>
      <c r="L103" s="99"/>
      <c r="M103" s="99"/>
      <c r="N103" s="99">
        <f>88/73</f>
        <v>1.2054794520547945</v>
      </c>
      <c r="R103" s="99"/>
      <c r="S103" s="99"/>
      <c r="T103" s="99"/>
      <c r="U103" s="117"/>
      <c r="V103" s="117"/>
      <c r="W103" s="99"/>
      <c r="X103" s="99"/>
      <c r="Y103" s="99"/>
    </row>
    <row r="104" spans="1:27" ht="18.75">
      <c r="A104" s="293" t="s">
        <v>5579</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19"/>
        <v>1.0048313449648931</v>
      </c>
      <c r="L104" s="99"/>
      <c r="M104" s="99"/>
      <c r="N104" s="99"/>
      <c r="R104" s="99"/>
      <c r="S104" s="99"/>
      <c r="T104" s="99"/>
      <c r="U104" s="99"/>
      <c r="V104" s="99"/>
      <c r="W104" s="99"/>
      <c r="X104" s="99"/>
      <c r="Y104" s="99"/>
    </row>
    <row r="105" spans="1:27" ht="18.75">
      <c r="A105" s="293" t="s">
        <v>5527</v>
      </c>
      <c r="B105" s="293" t="s">
        <v>4233</v>
      </c>
      <c r="C105" s="295">
        <v>689.6</v>
      </c>
      <c r="D105" s="293">
        <v>78468</v>
      </c>
      <c r="E105" s="291" t="s">
        <v>4382</v>
      </c>
      <c r="F105" s="292">
        <v>8462</v>
      </c>
      <c r="G105" s="300">
        <f t="shared" ref="G105" si="23">C105*D105*0.99025/(F105*1.0046399)</f>
        <v>6303.0571343067613</v>
      </c>
      <c r="H105" s="302">
        <f t="shared" ref="H105" si="24">C105/F105</f>
        <v>8.1493736705270631E-2</v>
      </c>
      <c r="I105" s="311">
        <f t="shared" ref="I105" si="25">F105/C105</f>
        <v>12.270881670533642</v>
      </c>
      <c r="J105" s="99" t="s">
        <v>452</v>
      </c>
      <c r="K105" s="313">
        <f t="shared" si="19"/>
        <v>1.0123903864165369</v>
      </c>
      <c r="L105" s="99"/>
      <c r="M105" s="99"/>
      <c r="N105" s="99" t="s">
        <v>25</v>
      </c>
      <c r="R105" s="99"/>
      <c r="S105" s="99"/>
      <c r="T105" s="99"/>
      <c r="U105" s="99"/>
      <c r="V105" s="99"/>
      <c r="W105" s="99"/>
      <c r="X105" s="99"/>
      <c r="Y105" s="99"/>
    </row>
    <row r="106" spans="1:27" ht="18.75">
      <c r="A106" s="293" t="s">
        <v>5579</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19"/>
        <v>1.0004256976913439</v>
      </c>
      <c r="L106" s="99"/>
      <c r="M106" s="99" t="s">
        <v>25</v>
      </c>
      <c r="N106" s="99"/>
    </row>
    <row r="107" spans="1:27" ht="18.75">
      <c r="A107" s="293" t="s">
        <v>5579</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19"/>
        <v>1.002913236324386</v>
      </c>
      <c r="L107" s="99"/>
      <c r="M107" s="99"/>
      <c r="N107" s="99"/>
    </row>
    <row r="108" spans="1:27" ht="18.75">
      <c r="A108" s="293" t="s">
        <v>5579</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19"/>
        <v>1.0028068436743685</v>
      </c>
      <c r="L108" s="325">
        <f>SUM(G97:G117)</f>
        <v>113291.38262924871</v>
      </c>
      <c r="M108" s="221" t="s">
        <v>5661</v>
      </c>
      <c r="N108" s="99"/>
      <c r="O108" t="s">
        <v>25</v>
      </c>
      <c r="R108" s="99" t="s">
        <v>749</v>
      </c>
      <c r="S108" s="99"/>
      <c r="T108" s="99"/>
      <c r="U108" s="99"/>
      <c r="V108" s="99"/>
      <c r="W108" s="99" t="s">
        <v>1232</v>
      </c>
      <c r="X108" s="99" t="s">
        <v>938</v>
      </c>
      <c r="Y108" s="69" t="s">
        <v>5520</v>
      </c>
      <c r="Z108" t="s">
        <v>25</v>
      </c>
    </row>
    <row r="109" spans="1:27" ht="18.75">
      <c r="A109" s="293" t="s">
        <v>5579</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19"/>
        <v>1.0000732817429325</v>
      </c>
      <c r="L109" s="62" t="e">
        <f>SUM(#REF!)</f>
        <v>#REF!</v>
      </c>
      <c r="M109" s="62" t="s">
        <v>5662</v>
      </c>
      <c r="N109" s="99"/>
      <c r="R109" s="99"/>
      <c r="S109" s="99" t="s">
        <v>4382</v>
      </c>
      <c r="T109" s="99">
        <v>4279</v>
      </c>
      <c r="U109" s="117">
        <v>32796123</v>
      </c>
      <c r="V109" s="117">
        <f>U109/T109</f>
        <v>7664.436316896471</v>
      </c>
      <c r="W109" s="117">
        <f>V109*1.01</f>
        <v>7741.0806800654354</v>
      </c>
      <c r="X109" s="99">
        <f>X95</f>
        <v>18326.2</v>
      </c>
      <c r="Y109" s="99">
        <f>T109*X109</f>
        <v>78417809.799999997</v>
      </c>
    </row>
    <row r="110" spans="1:27" ht="19.5">
      <c r="A110" s="293" t="s">
        <v>5579</v>
      </c>
      <c r="B110" s="293" t="s">
        <v>4233</v>
      </c>
      <c r="C110" s="295">
        <v>906.8</v>
      </c>
      <c r="D110" s="293">
        <v>3956</v>
      </c>
      <c r="E110" s="291" t="s">
        <v>4382</v>
      </c>
      <c r="F110" s="292">
        <v>10989</v>
      </c>
      <c r="G110" s="300">
        <f t="shared" ref="G110:G114" si="26">C110*D110*0.99025/(F110*1.0046399)</f>
        <v>321.76888796380018</v>
      </c>
      <c r="H110" s="307">
        <f t="shared" ref="H110:H114" si="27">C110/F110</f>
        <v>8.2518882518882508E-2</v>
      </c>
      <c r="I110" s="311">
        <f t="shared" ref="I110:I114" si="28">F110/C110</f>
        <v>12.118438464931629</v>
      </c>
      <c r="J110" s="99" t="s">
        <v>452</v>
      </c>
      <c r="K110" s="313">
        <f>H110/H109</f>
        <v>1.006310004759617</v>
      </c>
      <c r="L110" s="23">
        <v>0</v>
      </c>
      <c r="M110" s="23" t="s">
        <v>5663</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5675</v>
      </c>
      <c r="B111" s="293" t="s">
        <v>4233</v>
      </c>
      <c r="C111" s="295">
        <v>1496</v>
      </c>
      <c r="D111" s="293">
        <v>400000</v>
      </c>
      <c r="E111" s="291" t="s">
        <v>4382</v>
      </c>
      <c r="F111" s="292">
        <v>17598.400000000001</v>
      </c>
      <c r="G111" s="300">
        <f t="shared" si="26"/>
        <v>33516.049930930109</v>
      </c>
      <c r="H111" s="307">
        <f t="shared" si="27"/>
        <v>8.5007727975270467E-2</v>
      </c>
      <c r="I111" s="311">
        <f t="shared" si="28"/>
        <v>11.763636363636365</v>
      </c>
      <c r="J111" s="99" t="s">
        <v>452</v>
      </c>
      <c r="K111" s="313">
        <f t="shared" ref="K111:K117" si="29">H111/H110</f>
        <v>1.0301609205119622</v>
      </c>
      <c r="L111" s="99"/>
      <c r="M111" s="99"/>
      <c r="N111" s="99"/>
      <c r="R111" s="99"/>
      <c r="S111" s="99" t="s">
        <v>4233</v>
      </c>
      <c r="T111" s="99">
        <v>12936</v>
      </c>
      <c r="U111" s="117">
        <v>6322162</v>
      </c>
      <c r="V111" s="117">
        <f>U111/T111</f>
        <v>488.72619047619048</v>
      </c>
      <c r="W111" s="117">
        <f>V111*1.01</f>
        <v>493.61345238095237</v>
      </c>
      <c r="X111" s="99">
        <f>X96</f>
        <v>1588</v>
      </c>
      <c r="Y111" s="99">
        <f>T111*X111</f>
        <v>20542368</v>
      </c>
    </row>
    <row r="112" spans="1:27" ht="19.5">
      <c r="A112" s="293" t="s">
        <v>5675</v>
      </c>
      <c r="B112" s="293" t="s">
        <v>4233</v>
      </c>
      <c r="C112" s="295">
        <v>1496</v>
      </c>
      <c r="D112" s="293">
        <v>60000</v>
      </c>
      <c r="E112" s="291" t="s">
        <v>5674</v>
      </c>
      <c r="F112" s="292">
        <v>17502.3</v>
      </c>
      <c r="G112" s="300">
        <f t="shared" si="26"/>
        <v>5055.0115108112705</v>
      </c>
      <c r="H112" s="307">
        <f t="shared" si="27"/>
        <v>8.5474480496848984E-2</v>
      </c>
      <c r="I112" s="311">
        <f t="shared" si="28"/>
        <v>11.699398395721925</v>
      </c>
      <c r="J112" s="99" t="s">
        <v>452</v>
      </c>
      <c r="K112" s="313">
        <f t="shared" si="29"/>
        <v>1.00549070693566</v>
      </c>
      <c r="L112" s="99"/>
      <c r="M112" s="99"/>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5679</v>
      </c>
      <c r="B113" s="293" t="s">
        <v>4233</v>
      </c>
      <c r="C113" s="295">
        <v>1569</v>
      </c>
      <c r="D113" s="293">
        <v>200000</v>
      </c>
      <c r="E113" s="291" t="s">
        <v>4382</v>
      </c>
      <c r="F113" s="292">
        <v>18007.900000000001</v>
      </c>
      <c r="G113" s="300">
        <f t="shared" si="26"/>
        <v>17176.089622804029</v>
      </c>
      <c r="H113" s="307">
        <f t="shared" si="27"/>
        <v>8.7128426968163961E-2</v>
      </c>
      <c r="I113" s="311">
        <f t="shared" si="28"/>
        <v>11.477310388782666</v>
      </c>
      <c r="J113" s="99" t="s">
        <v>452</v>
      </c>
      <c r="K113" s="313">
        <f t="shared" si="29"/>
        <v>1.0193501786931123</v>
      </c>
      <c r="L113" s="99"/>
      <c r="M113" s="99"/>
      <c r="N113" s="99"/>
      <c r="R113" s="99" t="s">
        <v>5487</v>
      </c>
      <c r="S113" s="99" t="s">
        <v>4547</v>
      </c>
      <c r="T113" s="99">
        <v>0</v>
      </c>
      <c r="U113" s="117">
        <v>180438</v>
      </c>
      <c r="V113" s="117"/>
      <c r="W113" s="117"/>
      <c r="X113" s="99">
        <f>X99</f>
        <v>1500</v>
      </c>
      <c r="Y113" s="95">
        <f>U113</f>
        <v>180438</v>
      </c>
    </row>
    <row r="114" spans="1:25" ht="19.5">
      <c r="A114" s="293" t="s">
        <v>5691</v>
      </c>
      <c r="B114" s="293" t="s">
        <v>4233</v>
      </c>
      <c r="C114" s="295">
        <v>1550</v>
      </c>
      <c r="D114" s="293">
        <v>61615</v>
      </c>
      <c r="E114" s="291" t="s">
        <v>4382</v>
      </c>
      <c r="F114" s="292">
        <v>17400</v>
      </c>
      <c r="G114" s="300">
        <f t="shared" si="26"/>
        <v>5410.0755669573355</v>
      </c>
      <c r="H114" s="307">
        <f t="shared" si="27"/>
        <v>8.9080459770114945E-2</v>
      </c>
      <c r="I114" s="311">
        <f t="shared" si="28"/>
        <v>11.225806451612904</v>
      </c>
      <c r="J114" s="99" t="s">
        <v>452</v>
      </c>
      <c r="K114" s="313">
        <f>H114/H113</f>
        <v>1.0224040863570765</v>
      </c>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286059917.19999999</v>
      </c>
    </row>
    <row r="116" spans="1:25" ht="19.5">
      <c r="A116" s="293"/>
      <c r="B116" s="293"/>
      <c r="C116" s="295"/>
      <c r="D116" s="293"/>
      <c r="E116" s="291"/>
      <c r="F116" s="292"/>
      <c r="G116" s="300"/>
      <c r="H116" s="307"/>
      <c r="I116" s="311"/>
      <c r="J116" s="99"/>
      <c r="K116" s="313" t="e">
        <f t="shared" si="29"/>
        <v>#DIV/0!</v>
      </c>
      <c r="L116" s="99"/>
      <c r="M116" s="99"/>
      <c r="N116" s="99"/>
    </row>
    <row r="117" spans="1:25" ht="18.75">
      <c r="A117" s="293"/>
      <c r="B117" s="293"/>
      <c r="C117" s="295"/>
      <c r="D117" s="293"/>
      <c r="E117" s="291"/>
      <c r="F117" s="292"/>
      <c r="G117" s="300"/>
      <c r="H117" s="302"/>
      <c r="I117" s="311"/>
      <c r="J117" s="99"/>
      <c r="K117" s="313" t="e">
        <f t="shared" si="29"/>
        <v>#DIV/0!</v>
      </c>
      <c r="L117" s="99"/>
      <c r="M117" s="99"/>
      <c r="N117" s="99"/>
    </row>
    <row r="118" spans="1:25" ht="15.75">
      <c r="A118" s="293"/>
      <c r="B118" s="293"/>
      <c r="C118" s="295"/>
      <c r="D118" s="293"/>
      <c r="E118" s="291"/>
      <c r="F118" s="292"/>
      <c r="G118" s="300" t="e">
        <f t="shared" ref="G118" si="30">C118*D118*0.99025/(F118*1.0046399)</f>
        <v>#DIV/0!</v>
      </c>
      <c r="H118" s="302" t="e">
        <f t="shared" ref="H118" si="31">C118/F118</f>
        <v>#DIV/0!</v>
      </c>
      <c r="I118" s="311" t="e">
        <f t="shared" ref="I118" si="32">F118/C118</f>
        <v>#DIV/0!</v>
      </c>
      <c r="J118" s="99" t="s">
        <v>452</v>
      </c>
      <c r="K118" s="99" t="s">
        <v>25</v>
      </c>
      <c r="L118" s="99" t="s">
        <v>25</v>
      </c>
      <c r="M118" s="99"/>
      <c r="N118" s="99"/>
      <c r="R118" t="s">
        <v>25</v>
      </c>
      <c r="W118" t="s">
        <v>5521</v>
      </c>
      <c r="X118" s="114">
        <f>Y102+Y115-U102-U115</f>
        <v>477201277</v>
      </c>
    </row>
    <row r="119" spans="1:25">
      <c r="A119" s="306"/>
      <c r="B119" s="306"/>
      <c r="C119" s="306"/>
      <c r="D119" s="306"/>
      <c r="E119" s="306"/>
      <c r="F119" s="306"/>
      <c r="G119" s="306"/>
      <c r="H119" s="306"/>
      <c r="I119" s="306"/>
      <c r="J119" s="318"/>
      <c r="K119" s="318"/>
      <c r="L119" s="319" t="s">
        <v>5569</v>
      </c>
      <c r="M119" s="303"/>
      <c r="N119" s="99"/>
      <c r="R119" t="s">
        <v>25</v>
      </c>
    </row>
    <row r="120" spans="1:25" ht="18.75">
      <c r="A120" s="293" t="s">
        <v>5576</v>
      </c>
      <c r="B120" s="293" t="s">
        <v>4233</v>
      </c>
      <c r="C120" s="321">
        <f>C123</f>
        <v>1600</v>
      </c>
      <c r="D120" s="293">
        <v>1</v>
      </c>
      <c r="E120" s="291" t="s">
        <v>4382</v>
      </c>
      <c r="F120" s="320">
        <f>C124</f>
        <v>17650</v>
      </c>
      <c r="G120" s="293">
        <f>C120*D120*0.99025/(C124*1.0046399)</f>
        <v>8.9353115860156707E-2</v>
      </c>
      <c r="H120" s="294">
        <f>C120/F120</f>
        <v>9.0651558073654395E-2</v>
      </c>
      <c r="I120" s="294">
        <f>F120/C120</f>
        <v>11.03125</v>
      </c>
      <c r="J120" s="99"/>
      <c r="K120" s="314">
        <f>H120/H114</f>
        <v>1.0176368454719913</v>
      </c>
      <c r="L120" s="315">
        <f>(1/K120-1.03)*100</f>
        <v>-4.7331178160919585</v>
      </c>
      <c r="M120" s="99">
        <f>H110*1.01</f>
        <v>8.3344071344071333E-2</v>
      </c>
      <c r="N120" s="99">
        <f>1/M120</f>
        <v>11.99845392567488</v>
      </c>
      <c r="R120" t="s">
        <v>25</v>
      </c>
    </row>
    <row r="121" spans="1:25">
      <c r="A121" s="293"/>
      <c r="B121" s="96"/>
      <c r="C121" s="96"/>
      <c r="D121" s="96"/>
      <c r="E121" s="96"/>
      <c r="F121" s="96"/>
      <c r="G121" s="96"/>
      <c r="H121" s="96"/>
      <c r="I121" s="96"/>
      <c r="J121" s="96"/>
      <c r="K121" s="96"/>
      <c r="L121" s="96"/>
      <c r="M121" s="99">
        <f>M120*1.01</f>
        <v>8.4177512057512047E-2</v>
      </c>
      <c r="N121" s="99">
        <f t="shared" ref="N121:N135" si="33">1/M121</f>
        <v>11.879657352153346</v>
      </c>
    </row>
    <row r="122" spans="1:25">
      <c r="A122" s="87"/>
      <c r="B122" s="96"/>
      <c r="C122" s="96"/>
      <c r="D122" s="96"/>
      <c r="E122" s="96"/>
      <c r="F122" s="96"/>
      <c r="G122" s="96"/>
      <c r="H122" s="96"/>
      <c r="I122" s="96"/>
      <c r="J122" s="96"/>
      <c r="K122" s="96"/>
      <c r="L122" s="96"/>
      <c r="M122" s="99">
        <f t="shared" ref="M122:M135" si="34">M121*1.01</f>
        <v>8.5019287178087169E-2</v>
      </c>
      <c r="N122" s="99">
        <f t="shared" si="33"/>
        <v>11.762036982330047</v>
      </c>
      <c r="R122" t="s">
        <v>25</v>
      </c>
    </row>
    <row r="123" spans="1:25" ht="21">
      <c r="C123" s="317">
        <v>1600</v>
      </c>
      <c r="D123" t="s">
        <v>25</v>
      </c>
      <c r="G123" t="s">
        <v>25</v>
      </c>
      <c r="M123" s="99">
        <f t="shared" si="34"/>
        <v>8.5869480049868038E-2</v>
      </c>
      <c r="N123" s="99">
        <f t="shared" si="33"/>
        <v>11.645581170623808</v>
      </c>
      <c r="R123" t="s">
        <v>25</v>
      </c>
      <c r="S123" t="s">
        <v>25</v>
      </c>
    </row>
    <row r="124" spans="1:25" ht="21">
      <c r="C124" s="316">
        <v>17650</v>
      </c>
      <c r="I124" s="96" t="s">
        <v>5638</v>
      </c>
      <c r="J124" t="s">
        <v>25</v>
      </c>
      <c r="M124" s="99">
        <f t="shared" si="34"/>
        <v>8.6728174850366713E-2</v>
      </c>
      <c r="N124" s="99">
        <f t="shared" si="33"/>
        <v>11.530278386756247</v>
      </c>
    </row>
    <row r="125" spans="1:25">
      <c r="C125" s="324">
        <v>17100</v>
      </c>
      <c r="G125" s="96"/>
      <c r="H125" s="96"/>
      <c r="K125" t="s">
        <v>25</v>
      </c>
      <c r="L125" t="s">
        <v>25</v>
      </c>
      <c r="M125" s="99">
        <f t="shared" si="34"/>
        <v>8.7595456598870386E-2</v>
      </c>
      <c r="N125" s="99">
        <f t="shared" si="33"/>
        <v>11.416117214610145</v>
      </c>
    </row>
    <row r="126" spans="1:25">
      <c r="C126" s="96"/>
      <c r="F126" s="328" t="s">
        <v>5584</v>
      </c>
      <c r="G126" s="328"/>
      <c r="H126" s="96"/>
      <c r="J126" t="s">
        <v>25</v>
      </c>
      <c r="M126" s="99">
        <f t="shared" si="34"/>
        <v>8.8471411164859085E-2</v>
      </c>
      <c r="N126" s="99">
        <f t="shared" si="33"/>
        <v>11.303086351099154</v>
      </c>
    </row>
    <row r="127" spans="1:25">
      <c r="C127" s="115"/>
      <c r="D127" s="115"/>
      <c r="E127" s="115"/>
      <c r="F127" s="329" t="s">
        <v>5585</v>
      </c>
      <c r="G127" s="329"/>
      <c r="H127" s="96"/>
      <c r="M127" s="99">
        <f t="shared" si="34"/>
        <v>8.9356125276507672E-2</v>
      </c>
      <c r="N127" s="99">
        <f t="shared" si="33"/>
        <v>11.191174605048667</v>
      </c>
    </row>
    <row r="128" spans="1:25">
      <c r="C128" s="96"/>
      <c r="D128" s="96"/>
      <c r="E128" s="96"/>
      <c r="F128" s="96"/>
      <c r="G128" s="96"/>
      <c r="H128" s="96"/>
      <c r="I128" s="96"/>
      <c r="J128" t="s">
        <v>25</v>
      </c>
      <c r="M128" s="99">
        <f t="shared" si="34"/>
        <v>9.0249686529272746E-2</v>
      </c>
      <c r="N128" s="99">
        <f t="shared" si="33"/>
        <v>11.080370896087789</v>
      </c>
    </row>
    <row r="129" spans="2:20">
      <c r="B129" s="96"/>
      <c r="C129" s="96">
        <v>9.035E-2</v>
      </c>
      <c r="D129" s="96"/>
      <c r="E129" s="96"/>
      <c r="F129" s="96"/>
      <c r="G129" s="96"/>
      <c r="H129" s="96"/>
      <c r="I129" s="96"/>
      <c r="M129" s="99">
        <f t="shared" si="34"/>
        <v>9.1152183394565475E-2</v>
      </c>
      <c r="N129" s="99">
        <f t="shared" si="33"/>
        <v>10.970664253552266</v>
      </c>
      <c r="S129" t="s">
        <v>25</v>
      </c>
      <c r="T129" t="s">
        <v>25</v>
      </c>
    </row>
    <row r="130" spans="2:20">
      <c r="M130" s="99">
        <f t="shared" si="34"/>
        <v>9.2063705228511136E-2</v>
      </c>
      <c r="N130" s="99">
        <f t="shared" si="33"/>
        <v>10.862043815398284</v>
      </c>
      <c r="R130" t="s">
        <v>25</v>
      </c>
    </row>
    <row r="131" spans="2:20">
      <c r="E131">
        <v>1568</v>
      </c>
      <c r="F131">
        <v>1461</v>
      </c>
      <c r="G131" s="327"/>
      <c r="J131" s="301"/>
      <c r="M131" s="99">
        <f t="shared" si="34"/>
        <v>9.2984342280796245E-2</v>
      </c>
      <c r="N131" s="99">
        <f t="shared" si="33"/>
        <v>10.754498827127014</v>
      </c>
    </row>
    <row r="132" spans="2:20">
      <c r="E132">
        <v>17350</v>
      </c>
      <c r="F132">
        <v>16904</v>
      </c>
      <c r="G132" s="327"/>
      <c r="M132" s="99">
        <f t="shared" si="34"/>
        <v>9.3914185703604214E-2</v>
      </c>
      <c r="N132" s="99">
        <f t="shared" si="33"/>
        <v>10.648018640719815</v>
      </c>
    </row>
    <row r="133" spans="2:20">
      <c r="E133">
        <f>E131/E132</f>
        <v>9.0374639769452453E-2</v>
      </c>
      <c r="F133">
        <f>F131/F132</f>
        <v>8.6429247515380975E-2</v>
      </c>
      <c r="M133" s="99">
        <f t="shared" si="34"/>
        <v>9.4853327560640258E-2</v>
      </c>
      <c r="N133" s="99">
        <f t="shared" si="33"/>
        <v>10.542592713583975</v>
      </c>
    </row>
    <row r="134" spans="2:20">
      <c r="J134" t="s">
        <v>25</v>
      </c>
      <c r="K134" s="96"/>
      <c r="M134" s="99">
        <f t="shared" si="34"/>
        <v>9.5801860836246658E-2</v>
      </c>
      <c r="N134" s="99">
        <f t="shared" si="33"/>
        <v>10.438210607508886</v>
      </c>
    </row>
    <row r="135" spans="2:20">
      <c r="B135" s="96"/>
      <c r="C135" s="96"/>
      <c r="D135" s="96"/>
      <c r="E135" s="96"/>
      <c r="F135">
        <f>F133/E133</f>
        <v>0.95634403341317598</v>
      </c>
      <c r="M135" s="99">
        <f t="shared" si="34"/>
        <v>9.675987944460912E-2</v>
      </c>
      <c r="N135" s="99">
        <f t="shared" si="33"/>
        <v>10.334861987632561</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c r="J138" s="96"/>
      <c r="M138" t="s">
        <v>25</v>
      </c>
    </row>
    <row r="139" spans="2:20">
      <c r="B139" s="96"/>
      <c r="C139" s="96"/>
      <c r="D139" s="96"/>
      <c r="E139" s="96"/>
      <c r="F139" s="96"/>
      <c r="G139" s="96"/>
      <c r="H139" s="96"/>
      <c r="I139" s="96"/>
      <c r="J139" s="96" t="s">
        <v>25</v>
      </c>
    </row>
    <row r="140" spans="2:20">
      <c r="B140" s="96"/>
      <c r="C140" s="96"/>
      <c r="D140" s="96">
        <v>16700</v>
      </c>
      <c r="E140" s="96">
        <v>16350</v>
      </c>
      <c r="F140" s="96"/>
      <c r="G140" s="96"/>
      <c r="I140" s="96"/>
      <c r="J140" s="96"/>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B344" zoomScale="85" zoomScaleNormal="85" workbookViewId="0">
      <selection activeCell="J384" sqref="J38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5552</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5553</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5563</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5576</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5577</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5579</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5605</v>
      </c>
      <c r="L346" s="84">
        <v>3220000000</v>
      </c>
      <c r="M346" s="84">
        <v>1580000000</v>
      </c>
      <c r="N346" s="113">
        <f t="shared" si="44"/>
        <v>4800000000</v>
      </c>
      <c r="O346" s="113">
        <f t="shared" si="45"/>
        <v>16994429</v>
      </c>
      <c r="P346" s="113">
        <f t="shared" si="46"/>
        <v>32497144</v>
      </c>
      <c r="Q346" s="229">
        <v>0</v>
      </c>
    </row>
    <row r="347" spans="9:19">
      <c r="I347" s="189" t="s">
        <v>5621</v>
      </c>
      <c r="J347" s="188">
        <f>L347-L346-50000000</f>
        <v>30000000</v>
      </c>
      <c r="K347" s="189" t="s">
        <v>5606</v>
      </c>
      <c r="L347" s="237">
        <v>3300000000</v>
      </c>
      <c r="M347" s="237">
        <v>1600000000</v>
      </c>
      <c r="N347" s="188">
        <f t="shared" si="44"/>
        <v>4900000000</v>
      </c>
      <c r="O347" s="188">
        <f t="shared" si="45"/>
        <v>20000000</v>
      </c>
      <c r="P347" s="188">
        <f>N347-N346-50000000</f>
        <v>50000000</v>
      </c>
      <c r="Q347" s="229">
        <v>50000000</v>
      </c>
    </row>
    <row r="348" spans="9:19">
      <c r="I348" s="189" t="s">
        <v>5630</v>
      </c>
      <c r="J348" s="188">
        <f t="shared" si="37"/>
        <v>79324490</v>
      </c>
      <c r="K348" s="189" t="s">
        <v>5607</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5636</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5639</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5641</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5642</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5644</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5645</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5647</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5648</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5649</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5650</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5651</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5655</v>
      </c>
      <c r="L361" s="84">
        <v>4730000000</v>
      </c>
      <c r="M361" s="84">
        <v>2276000000</v>
      </c>
      <c r="N361" s="292">
        <f t="shared" si="44"/>
        <v>7006000000</v>
      </c>
      <c r="O361" s="113">
        <f t="shared" si="45"/>
        <v>9599335.7503376007</v>
      </c>
      <c r="P361" s="113">
        <f t="shared" si="46"/>
        <v>37003184.750337601</v>
      </c>
      <c r="Q361" s="229">
        <v>0</v>
      </c>
    </row>
    <row r="362" spans="9:21">
      <c r="I362" s="216" t="s">
        <v>5658</v>
      </c>
      <c r="J362" s="244">
        <f>L362-L361+58196600</f>
        <v>79816926</v>
      </c>
      <c r="K362" s="216" t="s">
        <v>5656</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5664</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5666</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5669</v>
      </c>
      <c r="L365" s="84">
        <v>5466726339</v>
      </c>
      <c r="M365" s="84">
        <v>2611141264</v>
      </c>
      <c r="N365" s="292">
        <f t="shared" si="44"/>
        <v>8077867603</v>
      </c>
      <c r="O365" s="113">
        <f t="shared" ref="O365:O377" si="47">M365-M364</f>
        <v>109876519</v>
      </c>
      <c r="P365" s="113">
        <f t="shared" ref="P365:P377" si="48">N365-N364</f>
        <v>356574153</v>
      </c>
      <c r="Q365" s="229">
        <v>0</v>
      </c>
      <c r="U365" t="s">
        <v>25</v>
      </c>
    </row>
    <row r="366" spans="9:21">
      <c r="I366" s="213"/>
      <c r="J366" s="113">
        <f t="shared" si="37"/>
        <v>197105230</v>
      </c>
      <c r="K366" s="213" t="s">
        <v>5675</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5679</v>
      </c>
      <c r="L367" s="84">
        <v>5620000000</v>
      </c>
      <c r="M367" s="84">
        <v>2670000000</v>
      </c>
      <c r="N367" s="113">
        <f t="shared" si="44"/>
        <v>8290000000</v>
      </c>
      <c r="O367" s="113">
        <f t="shared" si="47"/>
        <v>-19938073</v>
      </c>
      <c r="P367" s="113">
        <f t="shared" si="48"/>
        <v>-63769642</v>
      </c>
      <c r="S367" t="s">
        <v>25</v>
      </c>
    </row>
    <row r="368" spans="9:21">
      <c r="I368" s="189" t="s">
        <v>5682</v>
      </c>
      <c r="J368" s="188">
        <f t="shared" si="37"/>
        <v>-39749235</v>
      </c>
      <c r="K368" s="189" t="s">
        <v>5681</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5688</v>
      </c>
      <c r="L369" s="84">
        <v>5754827263</v>
      </c>
      <c r="M369" s="84">
        <v>2766301410</v>
      </c>
      <c r="N369" s="35">
        <f t="shared" si="44"/>
        <v>8521128673</v>
      </c>
      <c r="O369" s="113">
        <f t="shared" si="47"/>
        <v>83941690</v>
      </c>
      <c r="P369" s="113">
        <f t="shared" si="48"/>
        <v>258518188</v>
      </c>
      <c r="Q369" s="229">
        <v>0</v>
      </c>
    </row>
    <row r="370" spans="9:20">
      <c r="I370" s="213"/>
      <c r="J370" s="113">
        <f t="shared" si="37"/>
        <v>282226898</v>
      </c>
      <c r="K370" s="213" t="s">
        <v>5689</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5691</v>
      </c>
      <c r="L371" s="84">
        <v>5844680128</v>
      </c>
      <c r="M371" s="84">
        <v>2825703655</v>
      </c>
      <c r="N371" s="292">
        <f t="shared" si="44"/>
        <v>8670383783</v>
      </c>
      <c r="O371" s="113">
        <f t="shared" si="47"/>
        <v>467162523</v>
      </c>
      <c r="P371" s="113">
        <f t="shared" si="48"/>
        <v>274788490</v>
      </c>
      <c r="Q371" s="229">
        <v>0</v>
      </c>
    </row>
    <row r="372" spans="9:20">
      <c r="I372" s="213"/>
      <c r="J372" s="113">
        <f t="shared" si="37"/>
        <v>-5844680128</v>
      </c>
      <c r="K372" s="213"/>
      <c r="L372" s="84"/>
      <c r="M372" s="84"/>
      <c r="N372" s="113">
        <f t="shared" si="44"/>
        <v>0</v>
      </c>
      <c r="O372" s="113">
        <f t="shared" si="47"/>
        <v>-2825703655</v>
      </c>
      <c r="P372" s="113">
        <f t="shared" si="48"/>
        <v>-8670383783</v>
      </c>
      <c r="S372" t="s">
        <v>25</v>
      </c>
    </row>
    <row r="373" spans="9:20">
      <c r="I373" s="213"/>
      <c r="J373" s="113">
        <f t="shared" si="37"/>
        <v>0</v>
      </c>
      <c r="K373" s="213"/>
      <c r="L373" s="84"/>
      <c r="M373" s="84"/>
      <c r="N373" s="113">
        <f t="shared" si="44"/>
        <v>0</v>
      </c>
      <c r="O373" s="113">
        <f t="shared" si="47"/>
        <v>0</v>
      </c>
      <c r="P373" s="113">
        <f t="shared" si="48"/>
        <v>0</v>
      </c>
    </row>
    <row r="374" spans="9:20">
      <c r="I374" s="213"/>
      <c r="J374" s="113">
        <f t="shared" si="37"/>
        <v>0</v>
      </c>
      <c r="K374" s="213"/>
      <c r="L374" s="84"/>
      <c r="M374" s="84"/>
      <c r="N374" s="113">
        <f t="shared" si="44"/>
        <v>0</v>
      </c>
      <c r="O374" s="113">
        <f t="shared" si="47"/>
        <v>0</v>
      </c>
      <c r="P374" s="113">
        <f t="shared" si="48"/>
        <v>0</v>
      </c>
      <c r="T374" t="s">
        <v>25</v>
      </c>
    </row>
    <row r="375" spans="9:20">
      <c r="I375" s="213"/>
      <c r="J375" s="113">
        <f t="shared" si="37"/>
        <v>0</v>
      </c>
      <c r="K375" s="213"/>
      <c r="L375" s="84"/>
      <c r="M375" s="84"/>
      <c r="N375" s="113">
        <f t="shared" si="44"/>
        <v>0</v>
      </c>
      <c r="O375" s="113">
        <f t="shared" si="47"/>
        <v>0</v>
      </c>
      <c r="P375" s="113">
        <f t="shared" si="48"/>
        <v>0</v>
      </c>
    </row>
    <row r="376" spans="9:20">
      <c r="I376" s="213"/>
      <c r="J376" s="113">
        <f t="shared" si="37"/>
        <v>0</v>
      </c>
      <c r="K376" s="213">
        <v>0</v>
      </c>
      <c r="L376" s="84">
        <v>0</v>
      </c>
      <c r="M376" s="84">
        <v>0</v>
      </c>
      <c r="N376" s="113">
        <f t="shared" si="44"/>
        <v>0</v>
      </c>
      <c r="O376" s="113">
        <f t="shared" si="47"/>
        <v>0</v>
      </c>
      <c r="P376" s="113">
        <f t="shared" si="48"/>
        <v>0</v>
      </c>
    </row>
    <row r="377" spans="9:20">
      <c r="I377" s="213"/>
      <c r="J377" s="113">
        <f t="shared" si="37"/>
        <v>0</v>
      </c>
      <c r="K377" s="213">
        <v>0</v>
      </c>
      <c r="L377" s="84">
        <v>0</v>
      </c>
      <c r="M377" s="84">
        <v>0</v>
      </c>
      <c r="N377" s="113">
        <f t="shared" si="44"/>
        <v>0</v>
      </c>
      <c r="O377" s="113">
        <f t="shared" si="47"/>
        <v>0</v>
      </c>
      <c r="P377" s="113">
        <f t="shared" si="48"/>
        <v>0</v>
      </c>
      <c r="S377" t="s">
        <v>25</v>
      </c>
    </row>
    <row r="378" spans="9:20">
      <c r="I378" s="213"/>
      <c r="J378" s="113">
        <f>L378-L377</f>
        <v>0</v>
      </c>
      <c r="K378" s="213"/>
      <c r="L378" s="84"/>
      <c r="M378" s="84"/>
      <c r="N378" s="113">
        <f>L378+M378</f>
        <v>0</v>
      </c>
      <c r="O378" s="113">
        <f>M378-M377</f>
        <v>0</v>
      </c>
      <c r="P378" s="113">
        <f>N378-N377</f>
        <v>0</v>
      </c>
    </row>
    <row r="381" spans="9:20">
      <c r="L381" t="s">
        <v>25</v>
      </c>
      <c r="N381" t="s">
        <v>25</v>
      </c>
      <c r="O381" t="s">
        <v>25</v>
      </c>
    </row>
    <row r="382" spans="9:20">
      <c r="L382" t="s">
        <v>25</v>
      </c>
      <c r="N382" t="s">
        <v>25</v>
      </c>
      <c r="O382" t="s">
        <v>25</v>
      </c>
      <c r="P382" t="s">
        <v>25</v>
      </c>
    </row>
    <row r="383" spans="9:20">
      <c r="P383" t="s">
        <v>25</v>
      </c>
    </row>
    <row r="384" spans="9:20">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5607</v>
      </c>
      <c r="I31" s="11">
        <v>267000</v>
      </c>
      <c r="J31" s="11" t="s">
        <v>477</v>
      </c>
    </row>
    <row r="32" spans="2:21">
      <c r="G32" s="11">
        <f>$I$48-I32</f>
        <v>82000</v>
      </c>
      <c r="H32" s="59" t="s">
        <v>792</v>
      </c>
      <c r="I32" s="11">
        <v>185000</v>
      </c>
      <c r="J32" s="11" t="s">
        <v>558</v>
      </c>
    </row>
    <row r="33" spans="6:23">
      <c r="G33" s="11">
        <f t="shared" si="5"/>
        <v>0</v>
      </c>
      <c r="H33" s="11" t="s">
        <v>5607</v>
      </c>
      <c r="I33" s="11">
        <v>267000</v>
      </c>
      <c r="J33" s="11" t="s">
        <v>566</v>
      </c>
    </row>
    <row r="34" spans="6:23">
      <c r="G34" s="11">
        <f t="shared" si="5"/>
        <v>0</v>
      </c>
      <c r="H34" s="11" t="s">
        <v>5607</v>
      </c>
      <c r="I34" s="11">
        <v>267000</v>
      </c>
      <c r="J34" s="11" t="s">
        <v>567</v>
      </c>
    </row>
    <row r="35" spans="6:23">
      <c r="G35" s="11">
        <f t="shared" si="5"/>
        <v>0</v>
      </c>
      <c r="H35" s="11" t="s">
        <v>5607</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0" t="s">
        <v>1085</v>
      </c>
      <c r="R21" s="330"/>
      <c r="S21" s="330"/>
      <c r="T21" s="330"/>
      <c r="U21" s="96"/>
      <c r="V21" s="96"/>
      <c r="W21" s="41" t="s">
        <v>5021</v>
      </c>
      <c r="X21" s="41">
        <v>9035210431</v>
      </c>
      <c r="Y21" s="41">
        <v>50</v>
      </c>
      <c r="Z21" s="41" t="s">
        <v>5300</v>
      </c>
      <c r="AA21" t="s">
        <v>5039</v>
      </c>
    </row>
    <row r="22" spans="5:35">
      <c r="O22" s="99"/>
      <c r="P22" s="99"/>
      <c r="Q22" s="330"/>
      <c r="R22" s="330"/>
      <c r="S22" s="330"/>
      <c r="T22" s="330"/>
      <c r="U22" s="96"/>
      <c r="V22" s="96"/>
      <c r="W22" s="41" t="s">
        <v>5112</v>
      </c>
      <c r="X22" s="41">
        <v>9909620343</v>
      </c>
      <c r="Y22" s="41">
        <v>200</v>
      </c>
      <c r="Z22" s="41" t="s">
        <v>5301</v>
      </c>
      <c r="AA22" t="s">
        <v>5304</v>
      </c>
      <c r="AB22" s="41" t="s">
        <v>5312</v>
      </c>
    </row>
    <row r="23" spans="5:35" ht="15.75">
      <c r="O23" s="178"/>
      <c r="P23" s="99" t="s">
        <v>4082</v>
      </c>
      <c r="Q23" s="331" t="s">
        <v>1086</v>
      </c>
      <c r="R23" s="332" t="s">
        <v>1087</v>
      </c>
      <c r="S23" s="331" t="s">
        <v>1088</v>
      </c>
      <c r="T23" s="333" t="s">
        <v>1089</v>
      </c>
      <c r="W23" s="41" t="s">
        <v>5113</v>
      </c>
      <c r="X23" s="41">
        <v>9378807702</v>
      </c>
      <c r="Y23" s="41">
        <v>0</v>
      </c>
      <c r="Z23" s="41">
        <v>0</v>
      </c>
      <c r="AD23" t="s">
        <v>25</v>
      </c>
    </row>
    <row r="24" spans="5:35">
      <c r="O24" s="99"/>
      <c r="P24" s="99"/>
      <c r="Q24" s="331"/>
      <c r="R24" s="332"/>
      <c r="S24" s="331"/>
      <c r="T24" s="333"/>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2020-07-04T11:33:47Z</dcterms:modified>
</cp:coreProperties>
</file>